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ING GOEBEL/"/>
    </mc:Choice>
  </mc:AlternateContent>
  <bookViews>
    <workbookView xWindow="0" yWindow="460" windowWidth="50420" windowHeight="26680" activeTab="2"/>
  </bookViews>
  <sheets>
    <sheet name="ln(dT_dr)" sheetId="3" r:id="rId1"/>
    <sheet name="Wärmestrom kW" sheetId="4" r:id="rId2"/>
    <sheet name="Tabelle2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L35" i="2"/>
  <c r="K35" i="2"/>
  <c r="G35" i="2"/>
  <c r="B35" i="2"/>
  <c r="C35" i="2"/>
  <c r="D35" i="2"/>
  <c r="E35" i="2"/>
  <c r="H35" i="2"/>
  <c r="I35" i="2"/>
  <c r="K7" i="2"/>
  <c r="B7" i="2"/>
  <c r="M7" i="2"/>
  <c r="K8" i="2"/>
  <c r="B8" i="2"/>
  <c r="M8" i="2"/>
  <c r="K9" i="2"/>
  <c r="B9" i="2"/>
  <c r="M9" i="2"/>
  <c r="K10" i="2"/>
  <c r="B10" i="2"/>
  <c r="M10" i="2"/>
  <c r="K11" i="2"/>
  <c r="B11" i="2"/>
  <c r="M11" i="2"/>
  <c r="K12" i="2"/>
  <c r="B12" i="2"/>
  <c r="M12" i="2"/>
  <c r="K13" i="2"/>
  <c r="B13" i="2"/>
  <c r="M13" i="2"/>
  <c r="K14" i="2"/>
  <c r="B14" i="2"/>
  <c r="M14" i="2"/>
  <c r="K15" i="2"/>
  <c r="B15" i="2"/>
  <c r="M15" i="2"/>
  <c r="K16" i="2"/>
  <c r="B16" i="2"/>
  <c r="M16" i="2"/>
  <c r="K17" i="2"/>
  <c r="B17" i="2"/>
  <c r="M17" i="2"/>
  <c r="K18" i="2"/>
  <c r="B18" i="2"/>
  <c r="M18" i="2"/>
  <c r="K19" i="2"/>
  <c r="B19" i="2"/>
  <c r="M19" i="2"/>
  <c r="K20" i="2"/>
  <c r="B20" i="2"/>
  <c r="M20" i="2"/>
  <c r="K21" i="2"/>
  <c r="B21" i="2"/>
  <c r="M21" i="2"/>
  <c r="K22" i="2"/>
  <c r="B22" i="2"/>
  <c r="M22" i="2"/>
  <c r="K23" i="2"/>
  <c r="B23" i="2"/>
  <c r="M23" i="2"/>
  <c r="K24" i="2"/>
  <c r="B24" i="2"/>
  <c r="M24" i="2"/>
  <c r="K25" i="2"/>
  <c r="B25" i="2"/>
  <c r="M25" i="2"/>
  <c r="K26" i="2"/>
  <c r="B26" i="2"/>
  <c r="M26" i="2"/>
  <c r="K27" i="2"/>
  <c r="B27" i="2"/>
  <c r="M27" i="2"/>
  <c r="K28" i="2"/>
  <c r="B28" i="2"/>
  <c r="M28" i="2"/>
  <c r="K29" i="2"/>
  <c r="B29" i="2"/>
  <c r="M29" i="2"/>
  <c r="K30" i="2"/>
  <c r="B30" i="2"/>
  <c r="M30" i="2"/>
  <c r="K31" i="2"/>
  <c r="B31" i="2"/>
  <c r="M31" i="2"/>
  <c r="K32" i="2"/>
  <c r="B32" i="2"/>
  <c r="M32" i="2"/>
  <c r="K33" i="2"/>
  <c r="B33" i="2"/>
  <c r="M33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6" i="2"/>
  <c r="L37" i="2"/>
  <c r="L38" i="2"/>
  <c r="L39" i="2"/>
  <c r="L40" i="2"/>
  <c r="L41" i="2"/>
  <c r="L42" i="2"/>
  <c r="B43" i="2"/>
  <c r="E43" i="2"/>
  <c r="H43" i="2"/>
  <c r="J43" i="2"/>
  <c r="L43" i="2"/>
  <c r="B47" i="2"/>
  <c r="E47" i="2"/>
  <c r="H47" i="2"/>
  <c r="J47" i="2"/>
  <c r="L47" i="2"/>
  <c r="B59" i="2"/>
  <c r="E59" i="2"/>
  <c r="H59" i="2"/>
  <c r="J59" i="2"/>
  <c r="L59" i="2"/>
  <c r="L7" i="2"/>
  <c r="K34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B61" i="2"/>
  <c r="E61" i="2"/>
  <c r="H61" i="2"/>
  <c r="J61" i="2"/>
  <c r="L61" i="2"/>
  <c r="B60" i="2"/>
  <c r="C60" i="2"/>
  <c r="D60" i="2"/>
  <c r="B58" i="2"/>
  <c r="E58" i="2"/>
  <c r="H58" i="2"/>
  <c r="J58" i="2"/>
  <c r="L58" i="2"/>
  <c r="B57" i="2"/>
  <c r="B56" i="2"/>
  <c r="E56" i="2"/>
  <c r="H56" i="2"/>
  <c r="J56" i="2"/>
  <c r="L56" i="2"/>
  <c r="B55" i="2"/>
  <c r="C55" i="2"/>
  <c r="D55" i="2"/>
  <c r="B54" i="2"/>
  <c r="E54" i="2"/>
  <c r="H54" i="2"/>
  <c r="J54" i="2"/>
  <c r="L54" i="2"/>
  <c r="B53" i="2"/>
  <c r="C53" i="2"/>
  <c r="D53" i="2"/>
  <c r="B52" i="2"/>
  <c r="C52" i="2"/>
  <c r="D52" i="2"/>
  <c r="B51" i="2"/>
  <c r="B50" i="2"/>
  <c r="E50" i="2"/>
  <c r="H50" i="2"/>
  <c r="J50" i="2"/>
  <c r="L50" i="2"/>
  <c r="B49" i="2"/>
  <c r="E49" i="2"/>
  <c r="H49" i="2"/>
  <c r="J49" i="2"/>
  <c r="L49" i="2"/>
  <c r="B48" i="2"/>
  <c r="C48" i="2"/>
  <c r="D48" i="2"/>
  <c r="B46" i="2"/>
  <c r="C46" i="2"/>
  <c r="D46" i="2"/>
  <c r="B45" i="2"/>
  <c r="B44" i="2"/>
  <c r="E44" i="2"/>
  <c r="H44" i="2"/>
  <c r="J44" i="2"/>
  <c r="L44" i="2"/>
  <c r="B42" i="2"/>
  <c r="E42" i="2"/>
  <c r="H42" i="2"/>
  <c r="B41" i="2"/>
  <c r="C41" i="2"/>
  <c r="D41" i="2"/>
  <c r="B40" i="2"/>
  <c r="C40" i="2"/>
  <c r="D40" i="2"/>
  <c r="B39" i="2"/>
  <c r="C39" i="2"/>
  <c r="D39" i="2"/>
  <c r="B38" i="2"/>
  <c r="E38" i="2"/>
  <c r="H38" i="2"/>
  <c r="B37" i="2"/>
  <c r="E37" i="2"/>
  <c r="H37" i="2"/>
  <c r="E36" i="2"/>
  <c r="H36" i="2"/>
  <c r="B34" i="2"/>
  <c r="C34" i="2"/>
  <c r="D34" i="2"/>
  <c r="C33" i="2"/>
  <c r="D33" i="2"/>
  <c r="C32" i="2"/>
  <c r="D32" i="2"/>
  <c r="C31" i="2"/>
  <c r="D31" i="2"/>
  <c r="C29" i="2"/>
  <c r="D29" i="2"/>
  <c r="E28" i="2"/>
  <c r="H28" i="2"/>
  <c r="C27" i="2"/>
  <c r="D27" i="2"/>
  <c r="E26" i="2"/>
  <c r="H26" i="2"/>
  <c r="C25" i="2"/>
  <c r="D25" i="2"/>
  <c r="C24" i="2"/>
  <c r="D24" i="2"/>
  <c r="C23" i="2"/>
  <c r="D23" i="2"/>
  <c r="E22" i="2"/>
  <c r="H22" i="2"/>
  <c r="C21" i="2"/>
  <c r="D21" i="2"/>
  <c r="C20" i="2"/>
  <c r="D20" i="2"/>
  <c r="C19" i="2"/>
  <c r="D19" i="2"/>
  <c r="C18" i="2"/>
  <c r="D18" i="2"/>
  <c r="C17" i="2"/>
  <c r="D17" i="2"/>
  <c r="E16" i="2"/>
  <c r="H16" i="2"/>
  <c r="E15" i="2"/>
  <c r="H15" i="2"/>
  <c r="C13" i="2"/>
  <c r="D13" i="2"/>
  <c r="E11" i="2"/>
  <c r="H11" i="2"/>
  <c r="E10" i="2"/>
  <c r="H10" i="2"/>
  <c r="C9" i="2"/>
  <c r="D9" i="2"/>
  <c r="E8" i="2"/>
  <c r="H8" i="2"/>
  <c r="E7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C61" i="2"/>
  <c r="D61" i="2"/>
  <c r="E60" i="2"/>
  <c r="H60" i="2"/>
  <c r="J60" i="2"/>
  <c r="L60" i="2"/>
  <c r="C59" i="2"/>
  <c r="D59" i="2"/>
  <c r="E57" i="2"/>
  <c r="H57" i="2"/>
  <c r="J57" i="2"/>
  <c r="L57" i="2"/>
  <c r="C57" i="2"/>
  <c r="D57" i="2"/>
  <c r="E55" i="2"/>
  <c r="H55" i="2"/>
  <c r="J55" i="2"/>
  <c r="L55" i="2"/>
  <c r="E53" i="2"/>
  <c r="H53" i="2"/>
  <c r="J53" i="2"/>
  <c r="L53" i="2"/>
  <c r="E51" i="2"/>
  <c r="C51" i="2"/>
  <c r="D51" i="2"/>
  <c r="C49" i="2"/>
  <c r="D49" i="2"/>
  <c r="E48" i="2"/>
  <c r="H48" i="2"/>
  <c r="J48" i="2"/>
  <c r="L48" i="2"/>
  <c r="C47" i="2"/>
  <c r="D47" i="2"/>
  <c r="E45" i="2"/>
  <c r="H45" i="2"/>
  <c r="J45" i="2"/>
  <c r="L45" i="2"/>
  <c r="C45" i="2"/>
  <c r="D45" i="2"/>
  <c r="C43" i="2"/>
  <c r="D43" i="2"/>
  <c r="E41" i="2"/>
  <c r="H41" i="2"/>
  <c r="E39" i="2"/>
  <c r="H39" i="2"/>
  <c r="E34" i="2"/>
  <c r="H34" i="2"/>
  <c r="E32" i="2"/>
  <c r="H32" i="2"/>
  <c r="E30" i="2"/>
  <c r="H30" i="2"/>
  <c r="C30" i="2"/>
  <c r="D30" i="2"/>
  <c r="C28" i="2"/>
  <c r="D28" i="2"/>
  <c r="E27" i="2"/>
  <c r="H27" i="2"/>
  <c r="C26" i="2"/>
  <c r="D26" i="2"/>
  <c r="E25" i="2"/>
  <c r="H25" i="2"/>
  <c r="E24" i="2"/>
  <c r="H24" i="2"/>
  <c r="E20" i="2"/>
  <c r="H20" i="2"/>
  <c r="E18" i="2"/>
  <c r="H18" i="2"/>
  <c r="C15" i="2"/>
  <c r="D15" i="2"/>
  <c r="E14" i="2"/>
  <c r="C14" i="2"/>
  <c r="D14" i="2"/>
  <c r="E12" i="2"/>
  <c r="H12" i="2"/>
  <c r="C12" i="2"/>
  <c r="D12" i="2"/>
  <c r="C10" i="2"/>
  <c r="D10" i="2"/>
  <c r="E9" i="2"/>
  <c r="H9" i="2"/>
  <c r="C7" i="2"/>
  <c r="D7" i="2"/>
  <c r="I36" i="2"/>
  <c r="M34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35" i="2"/>
  <c r="C16" i="2"/>
  <c r="D16" i="2"/>
  <c r="E19" i="2"/>
  <c r="H19" i="2"/>
  <c r="E23" i="2"/>
  <c r="H23" i="2"/>
  <c r="E31" i="2"/>
  <c r="H31" i="2"/>
  <c r="I31" i="2"/>
  <c r="C36" i="2"/>
  <c r="D36" i="2"/>
  <c r="E40" i="2"/>
  <c r="H40" i="2"/>
  <c r="C44" i="2"/>
  <c r="D44" i="2"/>
  <c r="E52" i="2"/>
  <c r="H52" i="2"/>
  <c r="J52" i="2"/>
  <c r="L52" i="2"/>
  <c r="C56" i="2"/>
  <c r="D56" i="2"/>
  <c r="C8" i="2"/>
  <c r="D8" i="2"/>
  <c r="C11" i="2"/>
  <c r="D11" i="2"/>
  <c r="C37" i="2"/>
  <c r="D37" i="2"/>
  <c r="E17" i="2"/>
  <c r="H17" i="2"/>
  <c r="C22" i="2"/>
  <c r="D22" i="2"/>
  <c r="E33" i="2"/>
  <c r="H33" i="2"/>
  <c r="I33" i="2"/>
  <c r="E21" i="2"/>
  <c r="H21" i="2"/>
  <c r="I21" i="2"/>
  <c r="I8" i="2"/>
  <c r="E13" i="2"/>
  <c r="H13" i="2"/>
  <c r="E29" i="2"/>
  <c r="H29" i="2"/>
  <c r="I29" i="2"/>
  <c r="E46" i="2"/>
  <c r="H46" i="2"/>
  <c r="J46" i="2"/>
  <c r="L46" i="2"/>
  <c r="C50" i="2"/>
  <c r="D50" i="2"/>
  <c r="I49" i="2"/>
  <c r="H51" i="2"/>
  <c r="J51" i="2"/>
  <c r="L51" i="2"/>
  <c r="H14" i="2"/>
  <c r="I14" i="2"/>
  <c r="I20" i="2"/>
  <c r="I12" i="2"/>
  <c r="I26" i="2"/>
  <c r="I28" i="2"/>
  <c r="I43" i="2"/>
  <c r="I45" i="2"/>
  <c r="I47" i="2"/>
  <c r="I59" i="2"/>
  <c r="I10" i="2"/>
  <c r="I19" i="2"/>
  <c r="I40" i="2"/>
  <c r="I56" i="2"/>
  <c r="I15" i="2"/>
  <c r="I22" i="2"/>
  <c r="I52" i="2"/>
  <c r="I11" i="2"/>
  <c r="I18" i="2"/>
  <c r="I27" i="2"/>
  <c r="I34" i="2"/>
  <c r="I44" i="2"/>
  <c r="I48" i="2"/>
  <c r="I55" i="2"/>
  <c r="I41" i="2"/>
  <c r="I32" i="2"/>
  <c r="I39" i="2"/>
  <c r="I37" i="2"/>
  <c r="I24" i="2"/>
  <c r="I23" i="2"/>
  <c r="I30" i="2"/>
  <c r="I53" i="2"/>
  <c r="I57" i="2"/>
  <c r="I16" i="2"/>
  <c r="I38" i="2"/>
  <c r="C54" i="2"/>
  <c r="D54" i="2"/>
  <c r="I13" i="2"/>
  <c r="C38" i="2"/>
  <c r="D38" i="2"/>
  <c r="C42" i="2"/>
  <c r="D42" i="2"/>
  <c r="C58" i="2"/>
  <c r="D58" i="2"/>
  <c r="I58" i="2"/>
  <c r="I50" i="2"/>
  <c r="I42" i="2"/>
  <c r="I25" i="2"/>
  <c r="I17" i="2"/>
  <c r="I9" i="2"/>
  <c r="I54" i="2"/>
  <c r="G7" i="2"/>
  <c r="I7" i="2"/>
  <c r="G60" i="2"/>
  <c r="I60" i="2"/>
  <c r="G61" i="2"/>
  <c r="I46" i="2"/>
  <c r="I51" i="2"/>
  <c r="I61" i="2"/>
</calcChain>
</file>

<file path=xl/sharedStrings.xml><?xml version="1.0" encoding="utf-8"?>
<sst xmlns="http://schemas.openxmlformats.org/spreadsheetml/2006/main" count="26" uniqueCount="24">
  <si>
    <t>t[s]</t>
  </si>
  <si>
    <t>log(t)</t>
  </si>
  <si>
    <t>log(Q)_corr</t>
  </si>
  <si>
    <t>diff</t>
  </si>
  <si>
    <t>t[d]</t>
  </si>
  <si>
    <t>t [m]</t>
  </si>
  <si>
    <t>dT/dr [K/m]</t>
  </si>
  <si>
    <t>ln(dT/dr)</t>
  </si>
  <si>
    <t>dT/dr_corr</t>
  </si>
  <si>
    <t>Wärmestrom ins Innere eines Hohlzylinders mit Radius 8,09 m</t>
  </si>
  <si>
    <t>Q=2*pi*r*L*lambda*dT/dr</t>
  </si>
  <si>
    <t>L=</t>
  </si>
  <si>
    <t>m</t>
  </si>
  <si>
    <t>r=</t>
  </si>
  <si>
    <t>lambda=</t>
  </si>
  <si>
    <t>W/m*K</t>
  </si>
  <si>
    <t>Q [kW]</t>
  </si>
  <si>
    <t>Q [kW]_corr</t>
  </si>
  <si>
    <t>T_salz(t=0)=</t>
  </si>
  <si>
    <t>T_Luft=</t>
  </si>
  <si>
    <t>°C</t>
  </si>
  <si>
    <t>Q_ges [kJ]</t>
  </si>
  <si>
    <t>Dr. Herres</t>
  </si>
  <si>
    <t>DBHD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</si>
</sst>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0000"/>
    <numFmt numFmtId="167" formatCode="#,##0.0000000"/>
  </numFmts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" fontId="0" fillId="2" borderId="0" xfId="0" applyNumberFormat="1" applyFill="1"/>
    <xf numFmtId="2" fontId="0" fillId="2" borderId="0" xfId="0" applyNumberFormat="1" applyFill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Ln (Gradient der Temperatur) im Salz an der Grenze zur Luft bei r = 8,09 m im DBHD Kühl-System</a:t>
            </a:r>
          </a:p>
        </c:rich>
      </c:tx>
      <c:layout>
        <c:manualLayout>
          <c:xMode val="edge"/>
          <c:yMode val="edge"/>
          <c:x val="0.126203109586748"/>
          <c:y val="0.00916338328035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710000698023518"/>
          <c:y val="0.061318407359674"/>
          <c:w val="0.903098417766753"/>
          <c:h val="0.8447940039488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Tabelle2!$G$6</c:f>
              <c:strCache>
                <c:ptCount val="1"/>
                <c:pt idx="0">
                  <c:v>ln(dT/dr)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Tabelle2!$E$7:$E$61</c:f>
              <c:numCache>
                <c:formatCode>General</c:formatCode>
                <c:ptCount val="55"/>
                <c:pt idx="0">
                  <c:v>1.6094379124341</c:v>
                </c:pt>
                <c:pt idx="1">
                  <c:v>1.945910149055313</c:v>
                </c:pt>
                <c:pt idx="2">
                  <c:v>2.302585092994046</c:v>
                </c:pt>
                <c:pt idx="3">
                  <c:v>2.639057329615258</c:v>
                </c:pt>
                <c:pt idx="4">
                  <c:v>2.995732273553991</c:v>
                </c:pt>
                <c:pt idx="5">
                  <c:v>3.401197381662155</c:v>
                </c:pt>
                <c:pt idx="6">
                  <c:v>3.912023005428146</c:v>
                </c:pt>
                <c:pt idx="7">
                  <c:v>4.248495242049359</c:v>
                </c:pt>
                <c:pt idx="8">
                  <c:v>4.605170185988092</c:v>
                </c:pt>
                <c:pt idx="9">
                  <c:v>4.941642422609303</c:v>
                </c:pt>
                <c:pt idx="10">
                  <c:v>5.298317366548036</c:v>
                </c:pt>
                <c:pt idx="11">
                  <c:v>5.703782474656201</c:v>
                </c:pt>
                <c:pt idx="12">
                  <c:v>6.214608098422191</c:v>
                </c:pt>
                <c:pt idx="13">
                  <c:v>6.551080335043404</c:v>
                </c:pt>
                <c:pt idx="14">
                  <c:v>6.907755278982137</c:v>
                </c:pt>
                <c:pt idx="15">
                  <c:v>7.24422751560335</c:v>
                </c:pt>
                <c:pt idx="16">
                  <c:v>7.600902459542082</c:v>
                </c:pt>
                <c:pt idx="17">
                  <c:v>8.006367567650245</c:v>
                </c:pt>
                <c:pt idx="18">
                  <c:v>8.517193191416238</c:v>
                </c:pt>
                <c:pt idx="19">
                  <c:v>8.85366542803745</c:v>
                </c:pt>
                <c:pt idx="20">
                  <c:v>9.210340371976184</c:v>
                </c:pt>
                <c:pt idx="21">
                  <c:v>9.546812608597395</c:v>
                </c:pt>
                <c:pt idx="22">
                  <c:v>9.903487552536127</c:v>
                </c:pt>
                <c:pt idx="23">
                  <c:v>10.30895266064429</c:v>
                </c:pt>
                <c:pt idx="24">
                  <c:v>10.81977828441028</c:v>
                </c:pt>
                <c:pt idx="25">
                  <c:v>11.1562505210315</c:v>
                </c:pt>
                <c:pt idx="26">
                  <c:v>11.51292546497023</c:v>
                </c:pt>
                <c:pt idx="27">
                  <c:v>11.84939770159144</c:v>
                </c:pt>
                <c:pt idx="28">
                  <c:v>12.20607264553017</c:v>
                </c:pt>
                <c:pt idx="29">
                  <c:v>12.61153775363834</c:v>
                </c:pt>
                <c:pt idx="30">
                  <c:v>13.12236337740433</c:v>
                </c:pt>
                <c:pt idx="31">
                  <c:v>13.45883561402554</c:v>
                </c:pt>
                <c:pt idx="32">
                  <c:v>13.81551055796427</c:v>
                </c:pt>
                <c:pt idx="33">
                  <c:v>14.15198279458549</c:v>
                </c:pt>
                <c:pt idx="34">
                  <c:v>14.50865773852422</c:v>
                </c:pt>
                <c:pt idx="35">
                  <c:v>14.91412284663238</c:v>
                </c:pt>
                <c:pt idx="36">
                  <c:v>15.42494847039837</c:v>
                </c:pt>
                <c:pt idx="37">
                  <c:v>15.76142070701959</c:v>
                </c:pt>
                <c:pt idx="38">
                  <c:v>16.11809565095832</c:v>
                </c:pt>
                <c:pt idx="39">
                  <c:v>16.45456788757953</c:v>
                </c:pt>
                <c:pt idx="40">
                  <c:v>16.81124283151826</c:v>
                </c:pt>
                <c:pt idx="41">
                  <c:v>17.21670793962643</c:v>
                </c:pt>
                <c:pt idx="42">
                  <c:v>17.72753356339242</c:v>
                </c:pt>
                <c:pt idx="43">
                  <c:v>18.06400580001363</c:v>
                </c:pt>
                <c:pt idx="44">
                  <c:v>18.42068074395237</c:v>
                </c:pt>
                <c:pt idx="45">
                  <c:v>18.75715298057358</c:v>
                </c:pt>
                <c:pt idx="46">
                  <c:v>19.11382792451231</c:v>
                </c:pt>
                <c:pt idx="47">
                  <c:v>19.51929303262047</c:v>
                </c:pt>
                <c:pt idx="48">
                  <c:v>20.03011865638647</c:v>
                </c:pt>
                <c:pt idx="49">
                  <c:v>20.36659089300768</c:v>
                </c:pt>
                <c:pt idx="50">
                  <c:v>20.72326583694641</c:v>
                </c:pt>
                <c:pt idx="51">
                  <c:v>21.05973807356762</c:v>
                </c:pt>
                <c:pt idx="52">
                  <c:v>21.41641301750636</c:v>
                </c:pt>
                <c:pt idx="53">
                  <c:v>21.82187812561452</c:v>
                </c:pt>
                <c:pt idx="54">
                  <c:v>22.33270374938051</c:v>
                </c:pt>
              </c:numCache>
            </c:numRef>
          </c:xVal>
          <c:yVal>
            <c:numRef>
              <c:f>Tabelle2!$G$7:$G$61</c:f>
              <c:numCache>
                <c:formatCode>0.00000</c:formatCode>
                <c:ptCount val="55"/>
                <c:pt idx="0">
                  <c:v>4.722137105779583</c:v>
                </c:pt>
                <c:pt idx="1">
                  <c:v>4.722118068569271</c:v>
                </c:pt>
                <c:pt idx="2">
                  <c:v>4.72208951333717</c:v>
                </c:pt>
                <c:pt idx="3">
                  <c:v>4.722051440783278</c:v>
                </c:pt>
                <c:pt idx="4">
                  <c:v>4.721994334285789</c:v>
                </c:pt>
                <c:pt idx="5">
                  <c:v>4.721899163011975</c:v>
                </c:pt>
                <c:pt idx="6">
                  <c:v>4.72170884379515</c:v>
                </c:pt>
                <c:pt idx="7">
                  <c:v>4.721518555682966</c:v>
                </c:pt>
                <c:pt idx="8">
                  <c:v>4.72123318182773</c:v>
                </c:pt>
                <c:pt idx="9">
                  <c:v>4.720852792185524</c:v>
                </c:pt>
                <c:pt idx="10">
                  <c:v>4.720282440871785</c:v>
                </c:pt>
                <c:pt idx="11">
                  <c:v>4.719332476832211</c:v>
                </c:pt>
                <c:pt idx="12">
                  <c:v>4.717434877633781</c:v>
                </c:pt>
                <c:pt idx="13">
                  <c:v>4.715540380490765</c:v>
                </c:pt>
                <c:pt idx="14">
                  <c:v>4.712704442926401</c:v>
                </c:pt>
                <c:pt idx="15">
                  <c:v>4.70893401497715</c:v>
                </c:pt>
                <c:pt idx="16">
                  <c:v>4.70330150200665</c:v>
                </c:pt>
                <c:pt idx="17">
                  <c:v>4.693975404547456</c:v>
                </c:pt>
                <c:pt idx="18">
                  <c:v>4.675551826271443</c:v>
                </c:pt>
                <c:pt idx="19">
                  <c:v>4.657429838746619</c:v>
                </c:pt>
                <c:pt idx="20">
                  <c:v>4.630803723217232</c:v>
                </c:pt>
                <c:pt idx="21">
                  <c:v>4.596320647539953</c:v>
                </c:pt>
                <c:pt idx="22">
                  <c:v>4.546711786099044</c:v>
                </c:pt>
                <c:pt idx="23">
                  <c:v>4.469393605167305</c:v>
                </c:pt>
                <c:pt idx="24">
                  <c:v>4.33297059587464</c:v>
                </c:pt>
                <c:pt idx="25">
                  <c:v>4.217416136350531</c:v>
                </c:pt>
                <c:pt idx="26">
                  <c:v>4.075137800191839</c:v>
                </c:pt>
                <c:pt idx="27">
                  <c:v>3.927920781359704</c:v>
                </c:pt>
                <c:pt idx="28">
                  <c:v>3.765586326450715</c:v>
                </c:pt>
                <c:pt idx="29">
                  <c:v>3.580295432155671</c:v>
                </c:pt>
                <c:pt idx="30">
                  <c:v>3.350546893510927</c:v>
                </c:pt>
                <c:pt idx="31">
                  <c:v>3.20229332596853</c:v>
                </c:pt>
                <c:pt idx="32">
                  <c:v>3.04821817669713</c:v>
                </c:pt>
                <c:pt idx="33">
                  <c:v>2.906097847035903</c:v>
                </c:pt>
                <c:pt idx="34">
                  <c:v>2.759207849056143</c:v>
                </c:pt>
                <c:pt idx="35">
                  <c:v>2.597355681230716</c:v>
                </c:pt>
                <c:pt idx="36">
                  <c:v>2.401897586758165</c:v>
                </c:pt>
                <c:pt idx="37">
                  <c:v>2.278648119551557</c:v>
                </c:pt>
                <c:pt idx="38">
                  <c:v>2.152990780305432</c:v>
                </c:pt>
                <c:pt idx="39">
                  <c:v>2.039286789380539</c:v>
                </c:pt>
                <c:pt idx="40">
                  <c:v>1.923959102082305</c:v>
                </c:pt>
                <c:pt idx="41">
                  <c:v>1.799378086347149</c:v>
                </c:pt>
                <c:pt idx="42">
                  <c:v>1.652185117822766</c:v>
                </c:pt>
                <c:pt idx="43">
                  <c:v>1.561024351167978</c:v>
                </c:pt>
                <c:pt idx="44">
                  <c:v>1.469230388029736</c:v>
                </c:pt>
                <c:pt idx="45">
                  <c:v>1.387020790431932</c:v>
                </c:pt>
                <c:pt idx="46">
                  <c:v>1.304304520584225</c:v>
                </c:pt>
                <c:pt idx="47">
                  <c:v>1.215503581625193</c:v>
                </c:pt>
                <c:pt idx="48">
                  <c:v>1.110994850461517</c:v>
                </c:pt>
                <c:pt idx="49">
                  <c:v>1.046311507978363</c:v>
                </c:pt>
                <c:pt idx="50">
                  <c:v>0.981077172081374</c:v>
                </c:pt>
                <c:pt idx="51">
                  <c:v>0.922472870057557</c:v>
                </c:pt>
                <c:pt idx="52">
                  <c:v>0.863246372893692</c:v>
                </c:pt>
                <c:pt idx="53">
                  <c:v>0.799274940547961</c:v>
                </c:pt>
                <c:pt idx="54">
                  <c:v>0.723336443089213</c:v>
                </c:pt>
              </c:numCache>
            </c:numRef>
          </c:yVal>
          <c:smooth val="1"/>
        </c:ser>
        <c:ser>
          <c:idx val="1"/>
          <c:order val="1"/>
          <c:tx>
            <c:v>wichtig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0738825539199208"/>
                  <c:y val="-0.00488224087597824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Tabelle2!$E$43:$E$51</c:f>
              <c:numCache>
                <c:formatCode>General</c:formatCode>
                <c:ptCount val="9"/>
                <c:pt idx="0">
                  <c:v>15.42494847039837</c:v>
                </c:pt>
                <c:pt idx="1">
                  <c:v>15.76142070701959</c:v>
                </c:pt>
                <c:pt idx="2">
                  <c:v>16.11809565095832</c:v>
                </c:pt>
                <c:pt idx="3">
                  <c:v>16.45456788757953</c:v>
                </c:pt>
                <c:pt idx="4">
                  <c:v>16.81124283151826</c:v>
                </c:pt>
                <c:pt idx="5">
                  <c:v>17.21670793962643</c:v>
                </c:pt>
                <c:pt idx="6">
                  <c:v>17.72753356339242</c:v>
                </c:pt>
                <c:pt idx="7">
                  <c:v>18.06400580001363</c:v>
                </c:pt>
                <c:pt idx="8">
                  <c:v>18.42068074395237</c:v>
                </c:pt>
              </c:numCache>
            </c:numRef>
          </c:xVal>
          <c:yVal>
            <c:numRef>
              <c:f>Tabelle2!$G$43:$G$51</c:f>
              <c:numCache>
                <c:formatCode>0.00000</c:formatCode>
                <c:ptCount val="9"/>
                <c:pt idx="0">
                  <c:v>2.401897586758165</c:v>
                </c:pt>
                <c:pt idx="1">
                  <c:v>2.278648119551557</c:v>
                </c:pt>
                <c:pt idx="2">
                  <c:v>2.152990780305432</c:v>
                </c:pt>
                <c:pt idx="3">
                  <c:v>2.039286789380539</c:v>
                </c:pt>
                <c:pt idx="4">
                  <c:v>1.923959102082305</c:v>
                </c:pt>
                <c:pt idx="5">
                  <c:v>1.799378086347149</c:v>
                </c:pt>
                <c:pt idx="6">
                  <c:v>1.652185117822766</c:v>
                </c:pt>
                <c:pt idx="7">
                  <c:v>1.561024351167978</c:v>
                </c:pt>
                <c:pt idx="8">
                  <c:v>1.469230388029736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2284000"/>
        <c:axId val="-1212275296"/>
      </c:scatterChart>
      <c:valAx>
        <c:axId val="-1212284000"/>
        <c:scaling>
          <c:orientation val="minMax"/>
          <c:max val="21.5"/>
          <c:min val="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ln( t[s] )</a:t>
                </a:r>
              </a:p>
            </c:rich>
          </c:tx>
          <c:layout>
            <c:manualLayout>
              <c:xMode val="edge"/>
              <c:yMode val="edge"/>
              <c:x val="0.475968459579253"/>
              <c:y val="0.942955081362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12275296"/>
        <c:crossesAt val="0.7"/>
        <c:crossBetween val="midCat"/>
        <c:majorUnit val="0.5"/>
      </c:valAx>
      <c:valAx>
        <c:axId val="-1212275296"/>
        <c:scaling>
          <c:logBase val="10.0"/>
          <c:orientation val="minMax"/>
          <c:max val="7.0"/>
          <c:min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ln( dT/dr )</a:t>
                </a:r>
              </a:p>
            </c:rich>
          </c:tx>
          <c:layout>
            <c:manualLayout>
              <c:xMode val="edge"/>
              <c:yMode val="edge"/>
              <c:x val="0.0280006671939275"/>
              <c:y val="0.45138290135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1228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Cooling System Effect in deepst 100 m Section / Wirkung</a:t>
            </a:r>
            <a:r>
              <a:rPr lang="en-US" sz="1400" baseline="0"/>
              <a:t> DBHD Kühl-System tiefster 100 m Abschnitt</a:t>
            </a:r>
            <a:endParaRPr lang="en-US" sz="1400"/>
          </a:p>
        </c:rich>
      </c:tx>
      <c:layout>
        <c:manualLayout>
          <c:xMode val="edge"/>
          <c:yMode val="edge"/>
          <c:x val="0.136354740715744"/>
          <c:y val="0.020267175633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Tabelle2!$C$43:$C$51</c:f>
              <c:numCache>
                <c:formatCode>General</c:formatCode>
                <c:ptCount val="9"/>
                <c:pt idx="0">
                  <c:v>57.87037037037037</c:v>
                </c:pt>
                <c:pt idx="1">
                  <c:v>81.01851851851852</c:v>
                </c:pt>
                <c:pt idx="2">
                  <c:v>115.7407407407407</c:v>
                </c:pt>
                <c:pt idx="3">
                  <c:v>162.037037037037</c:v>
                </c:pt>
                <c:pt idx="4">
                  <c:v>231.4814814814815</c:v>
                </c:pt>
                <c:pt idx="5">
                  <c:v>347.2222222222222</c:v>
                </c:pt>
                <c:pt idx="6">
                  <c:v>578.7037037037037</c:v>
                </c:pt>
                <c:pt idx="7">
                  <c:v>810.1851851851852</c:v>
                </c:pt>
                <c:pt idx="8">
                  <c:v>1157.407407407407</c:v>
                </c:pt>
              </c:numCache>
            </c:numRef>
          </c:xVal>
          <c:yVal>
            <c:numRef>
              <c:f>Tabelle2!$K$43:$K$51</c:f>
              <c:numCache>
                <c:formatCode>0</c:formatCode>
                <c:ptCount val="9"/>
                <c:pt idx="0">
                  <c:v>280.6915006197331</c:v>
                </c:pt>
                <c:pt idx="1">
                  <c:v>248.1433830289897</c:v>
                </c:pt>
                <c:pt idx="2">
                  <c:v>218.8418662819573</c:v>
                </c:pt>
                <c:pt idx="3">
                  <c:v>195.3212045630301</c:v>
                </c:pt>
                <c:pt idx="4">
                  <c:v>174.0456670347431</c:v>
                </c:pt>
                <c:pt idx="5">
                  <c:v>153.6591293383942</c:v>
                </c:pt>
                <c:pt idx="6">
                  <c:v>132.6274055486572</c:v>
                </c:pt>
                <c:pt idx="7">
                  <c:v>121.0717043589559</c:v>
                </c:pt>
                <c:pt idx="8">
                  <c:v>110.452880030511</c:v>
                </c:pt>
              </c:numCache>
            </c:numRef>
          </c:yVal>
          <c:smooth val="1"/>
        </c:ser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Tabelle2!$C$43:$C$51</c:f>
              <c:numCache>
                <c:formatCode>General</c:formatCode>
                <c:ptCount val="9"/>
                <c:pt idx="0">
                  <c:v>57.87037037037037</c:v>
                </c:pt>
                <c:pt idx="1">
                  <c:v>81.01851851851852</c:v>
                </c:pt>
                <c:pt idx="2">
                  <c:v>115.7407407407407</c:v>
                </c:pt>
                <c:pt idx="3">
                  <c:v>162.037037037037</c:v>
                </c:pt>
                <c:pt idx="4">
                  <c:v>231.4814814814815</c:v>
                </c:pt>
                <c:pt idx="5">
                  <c:v>347.2222222222222</c:v>
                </c:pt>
                <c:pt idx="6">
                  <c:v>578.7037037037037</c:v>
                </c:pt>
                <c:pt idx="7">
                  <c:v>810.1851851851852</c:v>
                </c:pt>
                <c:pt idx="8">
                  <c:v>1157.407407407407</c:v>
                </c:pt>
              </c:numCache>
            </c:numRef>
          </c:xVal>
          <c:yVal>
            <c:numRef>
              <c:f>Tabelle2!$K$43:$K$51</c:f>
              <c:numCache>
                <c:formatCode>0</c:formatCode>
                <c:ptCount val="9"/>
                <c:pt idx="0">
                  <c:v>280.6915006197331</c:v>
                </c:pt>
                <c:pt idx="1">
                  <c:v>248.1433830289897</c:v>
                </c:pt>
                <c:pt idx="2">
                  <c:v>218.8418662819573</c:v>
                </c:pt>
                <c:pt idx="3">
                  <c:v>195.3212045630301</c:v>
                </c:pt>
                <c:pt idx="4">
                  <c:v>174.0456670347431</c:v>
                </c:pt>
                <c:pt idx="5">
                  <c:v>153.6591293383942</c:v>
                </c:pt>
                <c:pt idx="6">
                  <c:v>132.6274055486572</c:v>
                </c:pt>
                <c:pt idx="7">
                  <c:v>121.0717043589559</c:v>
                </c:pt>
                <c:pt idx="8">
                  <c:v>110.452880030511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1369680"/>
        <c:axId val="-1211361200"/>
      </c:scatterChart>
      <c:valAx>
        <c:axId val="-1211369680"/>
        <c:scaling>
          <c:orientation val="minMax"/>
          <c:max val="1200.0"/>
        </c:scaling>
        <c:delete val="0"/>
        <c:axPos val="b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Zeit in Tagen / Time in Days</a:t>
                </a:r>
              </a:p>
            </c:rich>
          </c:tx>
          <c:layout>
            <c:manualLayout>
              <c:xMode val="edge"/>
              <c:yMode val="edge"/>
              <c:x val="0.400708963895225"/>
              <c:y val="0.9328933068849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11361200"/>
        <c:crosses val="autoZero"/>
        <c:crossBetween val="midCat"/>
        <c:majorUnit val="100.0"/>
      </c:valAx>
      <c:valAx>
        <c:axId val="-121136120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Wärmestrom in kW / Heat from the mountain in kW</a:t>
                </a:r>
              </a:p>
            </c:rich>
          </c:tx>
          <c:layout>
            <c:manualLayout>
              <c:xMode val="edge"/>
              <c:yMode val="edge"/>
              <c:x val="0.00964953308308226"/>
              <c:y val="0.149976922371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1136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00" workbookViewId="0"/>
  </sheetViews>
  <pageMargins left="0.7" right="0.7" top="0.78740157499999996" bottom="0.78740157499999996" header="0.3" footer="0.3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735137" cy="920315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84" cy="601688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tabSelected="1" zoomScale="120" zoomScaleNormal="120" zoomScalePageLayoutView="120" workbookViewId="0">
      <selection activeCell="AA33" sqref="AA33"/>
    </sheetView>
  </sheetViews>
  <sheetFormatPr baseColWidth="10" defaultRowHeight="14" x14ac:dyDescent="0.15"/>
  <cols>
    <col min="1" max="1" width="5.33203125" customWidth="1"/>
    <col min="2" max="2" width="13.83203125" customWidth="1"/>
    <col min="10" max="10" width="10.5" bestFit="1" customWidth="1"/>
    <col min="11" max="11" width="6.5" bestFit="1" customWidth="1"/>
    <col min="13" max="13" width="13.83203125" customWidth="1"/>
    <col min="14" max="14" width="5.6640625" customWidth="1"/>
  </cols>
  <sheetData>
    <row r="1" spans="2:13" ht="25" customHeight="1" x14ac:dyDescent="0.15"/>
    <row r="2" spans="2:13" x14ac:dyDescent="0.15">
      <c r="B2" t="s">
        <v>9</v>
      </c>
      <c r="M2" s="6" t="s">
        <v>22</v>
      </c>
    </row>
    <row r="3" spans="2:13" x14ac:dyDescent="0.15">
      <c r="B3" t="s">
        <v>10</v>
      </c>
      <c r="D3" s="6" t="s">
        <v>18</v>
      </c>
      <c r="E3">
        <v>80</v>
      </c>
      <c r="F3" t="s">
        <v>20</v>
      </c>
      <c r="G3" s="6" t="s">
        <v>13</v>
      </c>
      <c r="H3">
        <v>8.09</v>
      </c>
      <c r="I3" t="s">
        <v>12</v>
      </c>
      <c r="J3" t="s">
        <v>14</v>
      </c>
      <c r="K3">
        <v>5</v>
      </c>
      <c r="L3" t="s">
        <v>15</v>
      </c>
      <c r="M3" s="6" t="s">
        <v>23</v>
      </c>
    </row>
    <row r="4" spans="2:13" x14ac:dyDescent="0.15">
      <c r="D4" s="6" t="s">
        <v>19</v>
      </c>
      <c r="E4">
        <v>25</v>
      </c>
      <c r="F4" t="s">
        <v>20</v>
      </c>
      <c r="G4" s="6" t="s">
        <v>11</v>
      </c>
      <c r="H4">
        <v>100</v>
      </c>
      <c r="I4" t="s">
        <v>12</v>
      </c>
    </row>
    <row r="5" spans="2:13" x14ac:dyDescent="0.15">
      <c r="D5" s="6"/>
      <c r="G5" s="6"/>
    </row>
    <row r="6" spans="2:13" x14ac:dyDescent="0.15">
      <c r="B6" t="s">
        <v>0</v>
      </c>
      <c r="C6" t="s">
        <v>4</v>
      </c>
      <c r="D6" t="s">
        <v>5</v>
      </c>
      <c r="E6" t="s">
        <v>1</v>
      </c>
      <c r="F6" t="s">
        <v>6</v>
      </c>
      <c r="G6" t="s">
        <v>7</v>
      </c>
      <c r="H6" t="s">
        <v>2</v>
      </c>
      <c r="I6" t="s">
        <v>3</v>
      </c>
      <c r="J6" t="s">
        <v>8</v>
      </c>
      <c r="K6" t="s">
        <v>16</v>
      </c>
      <c r="L6" t="s">
        <v>17</v>
      </c>
      <c r="M6" t="s">
        <v>21</v>
      </c>
    </row>
    <row r="7" spans="2:13" x14ac:dyDescent="0.15">
      <c r="B7">
        <f>5</f>
        <v>5</v>
      </c>
      <c r="C7">
        <f t="shared" ref="C7:C61" si="0">B7/(3600*24)</f>
        <v>5.7870370370370373E-5</v>
      </c>
      <c r="D7">
        <f t="shared" ref="D7:D61" si="1">C7/(365.25/12)</f>
        <v>1.9012852688417371E-6</v>
      </c>
      <c r="E7">
        <f t="shared" ref="E7:E61" si="2">LN(B7)</f>
        <v>1.6094379124341003</v>
      </c>
      <c r="F7">
        <v>112.40822442004701</v>
      </c>
      <c r="G7" s="1">
        <f>LN(F7)</f>
        <v>4.7221371057795833</v>
      </c>
      <c r="H7" s="1">
        <f>30.374009*EXP(-0.16427*E7)</f>
        <v>23.317517677461741</v>
      </c>
      <c r="I7" s="1">
        <f>H7-G7</f>
        <v>18.595380571682156</v>
      </c>
      <c r="J7" s="3"/>
      <c r="K7" s="5">
        <f>2*PI()*$H$3*$H$4*$K$3*F7/1000</f>
        <v>2856.9094930124379</v>
      </c>
      <c r="L7" s="4">
        <f>2*PI()*$H$3*$H$4*$K$3*J7/1000</f>
        <v>0</v>
      </c>
      <c r="M7" s="5">
        <f>K7*B7</f>
        <v>14284.547465062189</v>
      </c>
    </row>
    <row r="8" spans="2:13" x14ac:dyDescent="0.15">
      <c r="B8">
        <f>7</f>
        <v>7</v>
      </c>
      <c r="C8">
        <f t="shared" si="0"/>
        <v>8.1018518518518516E-5</v>
      </c>
      <c r="D8">
        <f t="shared" si="1"/>
        <v>2.6617993763784318E-6</v>
      </c>
      <c r="E8">
        <f t="shared" si="2"/>
        <v>1.9459101490553132</v>
      </c>
      <c r="F8">
        <v>112.40608450140699</v>
      </c>
      <c r="G8" s="1">
        <f t="shared" ref="G8:G59" si="3">LN(F8)</f>
        <v>4.7221180685692712</v>
      </c>
      <c r="H8" s="1">
        <f t="shared" ref="H8:H61" si="4">30.374009*EXP(-0.16427*E8)</f>
        <v>22.06367553753801</v>
      </c>
      <c r="I8" s="1">
        <f t="shared" ref="I8:I59" si="5">H8-G8</f>
        <v>17.341557468968738</v>
      </c>
      <c r="J8" s="3"/>
      <c r="K8" s="5">
        <f t="shared" ref="K8:K61" si="6">2*PI()*$H$3*$H$4*$K$3*F8/1000</f>
        <v>2856.8551059432666</v>
      </c>
      <c r="L8" s="4">
        <f t="shared" ref="L8:L61" si="7">2*PI()*$H$3*$H$4*$K$3*J8/1000</f>
        <v>0</v>
      </c>
      <c r="M8" s="5">
        <f>M7+(K7+K8)/2*(B8-B7)</f>
        <v>19998.312064017893</v>
      </c>
    </row>
    <row r="9" spans="2:13" x14ac:dyDescent="0.15">
      <c r="B9">
        <f>10</f>
        <v>10</v>
      </c>
      <c r="C9">
        <f t="shared" si="0"/>
        <v>1.1574074074074075E-4</v>
      </c>
      <c r="D9">
        <f t="shared" si="1"/>
        <v>3.8025705376834743E-6</v>
      </c>
      <c r="E9">
        <f t="shared" si="2"/>
        <v>2.3025850929940459</v>
      </c>
      <c r="F9">
        <v>112.402874765402</v>
      </c>
      <c r="G9" s="1">
        <f t="shared" si="3"/>
        <v>4.7220895133371696</v>
      </c>
      <c r="H9" s="1">
        <f t="shared" si="4"/>
        <v>20.80808519315368</v>
      </c>
      <c r="I9" s="1">
        <f t="shared" si="5"/>
        <v>16.085995679816509</v>
      </c>
      <c r="J9" s="3"/>
      <c r="K9" s="5">
        <f t="shared" si="6"/>
        <v>2856.7735289473658</v>
      </c>
      <c r="L9" s="4">
        <f t="shared" si="7"/>
        <v>0</v>
      </c>
      <c r="M9" s="5">
        <f t="shared" ref="M9:M61" si="8">M8+(K8+K9)/2*(B9-B8)</f>
        <v>28568.75501635384</v>
      </c>
    </row>
    <row r="10" spans="2:13" x14ac:dyDescent="0.15">
      <c r="B10">
        <f>14</f>
        <v>14</v>
      </c>
      <c r="C10">
        <f t="shared" si="0"/>
        <v>1.6203703703703703E-4</v>
      </c>
      <c r="D10">
        <f t="shared" si="1"/>
        <v>5.3235987527568636E-6</v>
      </c>
      <c r="E10">
        <f t="shared" si="2"/>
        <v>2.6390573296152584</v>
      </c>
      <c r="F10">
        <v>112.39859538235901</v>
      </c>
      <c r="G10" s="1">
        <f t="shared" si="3"/>
        <v>4.7220514407832779</v>
      </c>
      <c r="H10" s="1">
        <f t="shared" si="4"/>
        <v>19.689181610568763</v>
      </c>
      <c r="I10" s="1">
        <f t="shared" si="5"/>
        <v>14.967130169785484</v>
      </c>
      <c r="J10" s="3"/>
      <c r="K10" s="5">
        <f t="shared" si="6"/>
        <v>2856.6647663536783</v>
      </c>
      <c r="L10" s="4">
        <f t="shared" si="7"/>
        <v>0</v>
      </c>
      <c r="M10" s="5">
        <f t="shared" si="8"/>
        <v>39995.631606955925</v>
      </c>
    </row>
    <row r="11" spans="2:13" x14ac:dyDescent="0.15">
      <c r="B11">
        <f>20</f>
        <v>20</v>
      </c>
      <c r="C11">
        <f t="shared" si="0"/>
        <v>2.3148148148148149E-4</v>
      </c>
      <c r="D11">
        <f t="shared" si="1"/>
        <v>7.6051410753669485E-6</v>
      </c>
      <c r="E11">
        <f t="shared" si="2"/>
        <v>2.9957322735539909</v>
      </c>
      <c r="F11">
        <v>112.392176875525</v>
      </c>
      <c r="G11" s="1">
        <f t="shared" si="3"/>
        <v>4.7219943342857889</v>
      </c>
      <c r="H11" s="1">
        <f t="shared" si="4"/>
        <v>18.568717965379655</v>
      </c>
      <c r="I11" s="1">
        <f t="shared" si="5"/>
        <v>13.846723631093866</v>
      </c>
      <c r="J11" s="3"/>
      <c r="K11" s="5">
        <f t="shared" si="6"/>
        <v>2856.5016368922916</v>
      </c>
      <c r="L11" s="4">
        <f t="shared" si="7"/>
        <v>0</v>
      </c>
      <c r="M11" s="5">
        <f t="shared" si="8"/>
        <v>57135.13081669384</v>
      </c>
    </row>
    <row r="12" spans="2:13" x14ac:dyDescent="0.15">
      <c r="B12">
        <f>30</f>
        <v>30</v>
      </c>
      <c r="C12">
        <f t="shared" si="0"/>
        <v>3.4722222222222224E-4</v>
      </c>
      <c r="D12">
        <f t="shared" si="1"/>
        <v>1.1407711613050422E-5</v>
      </c>
      <c r="E12">
        <f t="shared" si="2"/>
        <v>3.4011973816621555</v>
      </c>
      <c r="F12">
        <v>112.381480877869</v>
      </c>
      <c r="G12" s="1">
        <f t="shared" si="3"/>
        <v>4.7218991630119751</v>
      </c>
      <c r="H12" s="1">
        <f t="shared" si="4"/>
        <v>17.372223527932608</v>
      </c>
      <c r="I12" s="1">
        <f t="shared" si="5"/>
        <v>12.650324364920632</v>
      </c>
      <c r="J12" s="3"/>
      <c r="K12" s="5">
        <f t="shared" si="6"/>
        <v>2856.2297929289311</v>
      </c>
      <c r="L12" s="4">
        <f t="shared" si="7"/>
        <v>0</v>
      </c>
      <c r="M12" s="5">
        <f t="shared" si="8"/>
        <v>85698.787965799944</v>
      </c>
    </row>
    <row r="13" spans="2:13" x14ac:dyDescent="0.15">
      <c r="B13">
        <f>50</f>
        <v>50</v>
      </c>
      <c r="C13">
        <f t="shared" si="0"/>
        <v>5.7870370370370367E-4</v>
      </c>
      <c r="D13">
        <f t="shared" si="1"/>
        <v>1.9012852688417369E-5</v>
      </c>
      <c r="E13">
        <f t="shared" si="2"/>
        <v>3.912023005428146</v>
      </c>
      <c r="F13">
        <v>112.360094557621</v>
      </c>
      <c r="G13" s="1">
        <f t="shared" si="3"/>
        <v>4.7217088437951498</v>
      </c>
      <c r="H13" s="1">
        <f t="shared" si="4"/>
        <v>15.973949778097811</v>
      </c>
      <c r="I13" s="1">
        <f t="shared" si="5"/>
        <v>11.252240934302662</v>
      </c>
      <c r="J13" s="3"/>
      <c r="K13" s="5">
        <f t="shared" si="6"/>
        <v>2855.6862492367118</v>
      </c>
      <c r="L13" s="4">
        <f t="shared" si="7"/>
        <v>0</v>
      </c>
      <c r="M13" s="5">
        <f t="shared" si="8"/>
        <v>142817.94838745636</v>
      </c>
    </row>
    <row r="14" spans="2:13" x14ac:dyDescent="0.15">
      <c r="B14">
        <f>70</f>
        <v>70</v>
      </c>
      <c r="C14">
        <f t="shared" si="0"/>
        <v>8.1018518518518516E-4</v>
      </c>
      <c r="D14">
        <f t="shared" si="1"/>
        <v>2.6617993763784319E-5</v>
      </c>
      <c r="E14">
        <f t="shared" si="2"/>
        <v>4.2484952420493594</v>
      </c>
      <c r="F14">
        <v>112.33871580146899</v>
      </c>
      <c r="G14" s="1">
        <f t="shared" si="3"/>
        <v>4.721518555682966</v>
      </c>
      <c r="H14" s="1">
        <f t="shared" si="4"/>
        <v>15.114989932978283</v>
      </c>
      <c r="I14" s="1">
        <f t="shared" si="5"/>
        <v>10.393471377295317</v>
      </c>
      <c r="J14" s="3"/>
      <c r="K14" s="5">
        <f t="shared" si="6"/>
        <v>2855.1428977896571</v>
      </c>
      <c r="L14" s="4">
        <f t="shared" si="7"/>
        <v>0</v>
      </c>
      <c r="M14" s="5">
        <f t="shared" si="8"/>
        <v>199926.23985772004</v>
      </c>
    </row>
    <row r="15" spans="2:13" x14ac:dyDescent="0.15">
      <c r="B15">
        <f>100</f>
        <v>100</v>
      </c>
      <c r="C15">
        <f t="shared" si="0"/>
        <v>1.1574074074074073E-3</v>
      </c>
      <c r="D15">
        <f t="shared" si="1"/>
        <v>3.8025705376834737E-5</v>
      </c>
      <c r="E15">
        <f t="shared" si="2"/>
        <v>4.6051701859880918</v>
      </c>
      <c r="F15">
        <v>112.30666184294699</v>
      </c>
      <c r="G15" s="1">
        <f t="shared" si="3"/>
        <v>4.7212331818277313</v>
      </c>
      <c r="H15" s="1">
        <f t="shared" si="4"/>
        <v>14.254832459078466</v>
      </c>
      <c r="I15" s="1">
        <f t="shared" si="5"/>
        <v>9.533599277250735</v>
      </c>
      <c r="J15" s="3"/>
      <c r="K15" s="5">
        <f t="shared" si="6"/>
        <v>2854.3282309015126</v>
      </c>
      <c r="L15" s="4">
        <f t="shared" si="7"/>
        <v>0</v>
      </c>
      <c r="M15" s="5">
        <f t="shared" si="8"/>
        <v>285568.30678808759</v>
      </c>
    </row>
    <row r="16" spans="2:13" x14ac:dyDescent="0.15">
      <c r="B16">
        <f>140</f>
        <v>140</v>
      </c>
      <c r="C16">
        <f t="shared" si="0"/>
        <v>1.6203703703703703E-3</v>
      </c>
      <c r="D16">
        <f t="shared" si="1"/>
        <v>5.3235987527568638E-5</v>
      </c>
      <c r="E16">
        <f t="shared" si="2"/>
        <v>4.9416424226093039</v>
      </c>
      <c r="F16">
        <v>112.263949676179</v>
      </c>
      <c r="G16" s="1">
        <f t="shared" si="3"/>
        <v>4.7208527921855241</v>
      </c>
      <c r="H16" s="1">
        <f t="shared" si="4"/>
        <v>13.488313917869375</v>
      </c>
      <c r="I16" s="1">
        <f t="shared" si="5"/>
        <v>8.7674611256838517</v>
      </c>
      <c r="J16" s="3"/>
      <c r="K16" s="5">
        <f t="shared" si="6"/>
        <v>2853.2426804861743</v>
      </c>
      <c r="L16" s="4">
        <f t="shared" si="7"/>
        <v>0</v>
      </c>
      <c r="M16" s="5">
        <f t="shared" si="8"/>
        <v>399719.72501584131</v>
      </c>
    </row>
    <row r="17" spans="2:13" x14ac:dyDescent="0.15">
      <c r="B17">
        <f>200</f>
        <v>200</v>
      </c>
      <c r="C17">
        <f t="shared" si="0"/>
        <v>2.3148148148148147E-3</v>
      </c>
      <c r="D17">
        <f t="shared" si="1"/>
        <v>7.6051410753669475E-5</v>
      </c>
      <c r="E17">
        <f t="shared" si="2"/>
        <v>5.2983173665480363</v>
      </c>
      <c r="F17">
        <v>112.19993804129101</v>
      </c>
      <c r="G17" s="1">
        <f t="shared" si="3"/>
        <v>4.7202824408717854</v>
      </c>
      <c r="H17" s="1">
        <f t="shared" si="4"/>
        <v>12.720726636752598</v>
      </c>
      <c r="I17" s="1">
        <f t="shared" si="5"/>
        <v>8.0004441958808137</v>
      </c>
      <c r="J17" s="3"/>
      <c r="K17" s="5">
        <f t="shared" si="6"/>
        <v>2851.6157937675357</v>
      </c>
      <c r="L17" s="4">
        <f t="shared" si="7"/>
        <v>0</v>
      </c>
      <c r="M17" s="5">
        <f t="shared" si="8"/>
        <v>570865.47924345266</v>
      </c>
    </row>
    <row r="18" spans="2:13" x14ac:dyDescent="0.15">
      <c r="B18">
        <f>300</f>
        <v>300</v>
      </c>
      <c r="C18">
        <f t="shared" si="0"/>
        <v>3.472222222222222E-3</v>
      </c>
      <c r="D18">
        <f t="shared" si="1"/>
        <v>1.1407711613050422E-4</v>
      </c>
      <c r="E18">
        <f t="shared" si="2"/>
        <v>5.7037824746562009</v>
      </c>
      <c r="F18">
        <v>112.09340274527101</v>
      </c>
      <c r="G18" s="1">
        <f t="shared" si="3"/>
        <v>4.7193324768322107</v>
      </c>
      <c r="H18" s="1">
        <f t="shared" si="4"/>
        <v>11.901053534412613</v>
      </c>
      <c r="I18" s="1">
        <f t="shared" si="5"/>
        <v>7.1817210575804022</v>
      </c>
      <c r="J18" s="3"/>
      <c r="K18" s="5">
        <f t="shared" si="6"/>
        <v>2848.9081475956409</v>
      </c>
      <c r="L18" s="4">
        <f t="shared" si="7"/>
        <v>0</v>
      </c>
      <c r="M18" s="5">
        <f t="shared" si="8"/>
        <v>855891.67631161143</v>
      </c>
    </row>
    <row r="19" spans="2:13" x14ac:dyDescent="0.15">
      <c r="B19">
        <f>500</f>
        <v>500</v>
      </c>
      <c r="C19">
        <f t="shared" si="0"/>
        <v>5.7870370370370367E-3</v>
      </c>
      <c r="D19">
        <f t="shared" si="1"/>
        <v>1.9012852688417368E-4</v>
      </c>
      <c r="E19">
        <f t="shared" si="2"/>
        <v>6.2146080984221914</v>
      </c>
      <c r="F19">
        <v>111.880896084075</v>
      </c>
      <c r="G19" s="1">
        <f t="shared" si="3"/>
        <v>4.7174348776337816</v>
      </c>
      <c r="H19" s="1">
        <f t="shared" si="4"/>
        <v>10.943149053976299</v>
      </c>
      <c r="I19" s="1">
        <f t="shared" si="5"/>
        <v>6.2257141763425174</v>
      </c>
      <c r="J19" s="3"/>
      <c r="K19" s="5">
        <f t="shared" si="6"/>
        <v>2843.5071878275139</v>
      </c>
      <c r="L19" s="4">
        <f t="shared" si="7"/>
        <v>0</v>
      </c>
      <c r="M19" s="5">
        <f t="shared" si="8"/>
        <v>1425133.2098539269</v>
      </c>
    </row>
    <row r="20" spans="2:13" x14ac:dyDescent="0.15">
      <c r="B20">
        <f>700</f>
        <v>700</v>
      </c>
      <c r="C20">
        <f t="shared" si="0"/>
        <v>8.1018518518518514E-3</v>
      </c>
      <c r="D20">
        <f t="shared" si="1"/>
        <v>2.6617993763784314E-4</v>
      </c>
      <c r="E20">
        <f t="shared" si="2"/>
        <v>6.5510803350434044</v>
      </c>
      <c r="F20">
        <v>111.669138696304</v>
      </c>
      <c r="G20" s="1">
        <f t="shared" si="3"/>
        <v>4.7155403804907658</v>
      </c>
      <c r="H20" s="1">
        <f t="shared" si="4"/>
        <v>10.354708139418552</v>
      </c>
      <c r="I20" s="1">
        <f t="shared" si="5"/>
        <v>5.639167758927786</v>
      </c>
      <c r="J20" s="3"/>
      <c r="K20" s="5">
        <f t="shared" si="6"/>
        <v>2838.1252712065575</v>
      </c>
      <c r="L20" s="4">
        <f t="shared" si="7"/>
        <v>0</v>
      </c>
      <c r="M20" s="5">
        <f t="shared" si="8"/>
        <v>1993296.4557573341</v>
      </c>
    </row>
    <row r="21" spans="2:13" x14ac:dyDescent="0.15">
      <c r="B21">
        <f>1000</f>
        <v>1000</v>
      </c>
      <c r="C21">
        <f t="shared" si="0"/>
        <v>1.1574074074074073E-2</v>
      </c>
      <c r="D21">
        <f t="shared" si="1"/>
        <v>3.8025705376834736E-4</v>
      </c>
      <c r="E21">
        <f t="shared" si="2"/>
        <v>6.9077552789821368</v>
      </c>
      <c r="F21">
        <v>111.352900618763</v>
      </c>
      <c r="G21" s="1">
        <f t="shared" si="3"/>
        <v>4.7127044429264009</v>
      </c>
      <c r="H21" s="1">
        <f t="shared" si="4"/>
        <v>9.7654467746630722</v>
      </c>
      <c r="I21" s="1">
        <f t="shared" si="5"/>
        <v>5.0527423317366713</v>
      </c>
      <c r="J21" s="3"/>
      <c r="K21" s="5">
        <f t="shared" si="6"/>
        <v>2830.087927227145</v>
      </c>
      <c r="L21" s="4">
        <f t="shared" si="7"/>
        <v>0</v>
      </c>
      <c r="M21" s="5">
        <f t="shared" si="8"/>
        <v>2843528.4355223896</v>
      </c>
    </row>
    <row r="22" spans="2:13" x14ac:dyDescent="0.15">
      <c r="B22">
        <f>1400</f>
        <v>1400</v>
      </c>
      <c r="C22">
        <f t="shared" si="0"/>
        <v>1.6203703703703703E-2</v>
      </c>
      <c r="D22">
        <f t="shared" si="1"/>
        <v>5.3235987527568628E-4</v>
      </c>
      <c r="E22">
        <f t="shared" si="2"/>
        <v>7.2442275156033498</v>
      </c>
      <c r="F22">
        <v>110.93384303969199</v>
      </c>
      <c r="G22" s="1">
        <f t="shared" si="3"/>
        <v>4.7089340149771504</v>
      </c>
      <c r="H22" s="1">
        <f t="shared" si="4"/>
        <v>9.2403339024172428</v>
      </c>
      <c r="I22" s="1">
        <f t="shared" si="5"/>
        <v>4.5313998874400925</v>
      </c>
      <c r="J22" s="3"/>
      <c r="K22" s="5">
        <f t="shared" si="6"/>
        <v>2819.4373757933545</v>
      </c>
      <c r="L22" s="4">
        <f t="shared" si="7"/>
        <v>0</v>
      </c>
      <c r="M22" s="5">
        <f t="shared" si="8"/>
        <v>3973433.4961264897</v>
      </c>
    </row>
    <row r="23" spans="2:13" x14ac:dyDescent="0.15">
      <c r="B23">
        <f>2000</f>
        <v>2000</v>
      </c>
      <c r="C23">
        <f t="shared" si="0"/>
        <v>2.3148148148148147E-2</v>
      </c>
      <c r="D23">
        <f t="shared" si="1"/>
        <v>7.6051410753669472E-4</v>
      </c>
      <c r="E23">
        <f t="shared" si="2"/>
        <v>7.6009024595420822</v>
      </c>
      <c r="F23">
        <v>110.31076313001699</v>
      </c>
      <c r="G23" s="1">
        <f t="shared" si="3"/>
        <v>4.7033015020066493</v>
      </c>
      <c r="H23" s="1">
        <f t="shared" si="4"/>
        <v>8.7144888768673034</v>
      </c>
      <c r="I23" s="1">
        <f t="shared" si="5"/>
        <v>4.0111873748606541</v>
      </c>
      <c r="J23" s="3"/>
      <c r="K23" s="5">
        <f t="shared" si="6"/>
        <v>2803.6014979646643</v>
      </c>
      <c r="L23" s="4">
        <f t="shared" si="7"/>
        <v>0</v>
      </c>
      <c r="M23" s="5">
        <f t="shared" si="8"/>
        <v>5660345.1582538951</v>
      </c>
    </row>
    <row r="24" spans="2:13" x14ac:dyDescent="0.15">
      <c r="B24">
        <f>3000</f>
        <v>3000</v>
      </c>
      <c r="C24">
        <f t="shared" si="0"/>
        <v>3.4722222222222224E-2</v>
      </c>
      <c r="D24">
        <f t="shared" si="1"/>
        <v>1.1407711613050423E-3</v>
      </c>
      <c r="E24">
        <f t="shared" si="2"/>
        <v>8.0063675676502459</v>
      </c>
      <c r="F24">
        <v>109.286776523565</v>
      </c>
      <c r="G24" s="1">
        <f t="shared" si="3"/>
        <v>4.693975404547456</v>
      </c>
      <c r="H24" s="1">
        <f t="shared" si="4"/>
        <v>8.1529618244447217</v>
      </c>
      <c r="I24" s="1">
        <f t="shared" si="5"/>
        <v>3.4589864198972657</v>
      </c>
      <c r="J24" s="3"/>
      <c r="K24" s="5">
        <f t="shared" si="6"/>
        <v>2777.5763821710148</v>
      </c>
      <c r="L24" s="4">
        <f t="shared" si="7"/>
        <v>0</v>
      </c>
      <c r="M24" s="5">
        <f t="shared" si="8"/>
        <v>8450934.0983217359</v>
      </c>
    </row>
    <row r="25" spans="2:13" x14ac:dyDescent="0.15">
      <c r="B25">
        <f>5000</f>
        <v>5000</v>
      </c>
      <c r="C25">
        <f t="shared" si="0"/>
        <v>5.7870370370370371E-2</v>
      </c>
      <c r="D25">
        <f t="shared" si="1"/>
        <v>1.901285268841737E-3</v>
      </c>
      <c r="E25">
        <f t="shared" si="2"/>
        <v>8.5171931914162382</v>
      </c>
      <c r="F25">
        <v>107.291757169538</v>
      </c>
      <c r="G25" s="1">
        <f t="shared" si="3"/>
        <v>4.6755518262714428</v>
      </c>
      <c r="H25" s="1">
        <f t="shared" si="4"/>
        <v>7.4967376811048529</v>
      </c>
      <c r="I25" s="1">
        <f t="shared" si="5"/>
        <v>2.8211858548334101</v>
      </c>
      <c r="J25" s="3"/>
      <c r="K25" s="5">
        <f t="shared" si="6"/>
        <v>2726.8719985667954</v>
      </c>
      <c r="L25" s="4">
        <f t="shared" si="7"/>
        <v>0</v>
      </c>
      <c r="M25" s="5">
        <f t="shared" si="8"/>
        <v>13955382.479059547</v>
      </c>
    </row>
    <row r="26" spans="2:13" x14ac:dyDescent="0.15">
      <c r="B26">
        <f>7000</f>
        <v>7000</v>
      </c>
      <c r="C26">
        <f t="shared" si="0"/>
        <v>8.1018518518518517E-2</v>
      </c>
      <c r="D26">
        <f t="shared" si="1"/>
        <v>2.6617993763784317E-3</v>
      </c>
      <c r="E26">
        <f t="shared" si="2"/>
        <v>8.8536654280374503</v>
      </c>
      <c r="F26">
        <v>105.364928994281</v>
      </c>
      <c r="G26" s="1">
        <f t="shared" si="3"/>
        <v>4.6574298387466193</v>
      </c>
      <c r="H26" s="1">
        <f t="shared" si="4"/>
        <v>7.0936190581646006</v>
      </c>
      <c r="I26" s="1">
        <f t="shared" si="5"/>
        <v>2.4361892194179813</v>
      </c>
      <c r="J26" s="3"/>
      <c r="K26" s="5">
        <f t="shared" si="6"/>
        <v>2677.9007268142468</v>
      </c>
      <c r="L26" s="4">
        <f t="shared" si="7"/>
        <v>0</v>
      </c>
      <c r="M26" s="5">
        <f t="shared" si="8"/>
        <v>19360155.20444059</v>
      </c>
    </row>
    <row r="27" spans="2:13" x14ac:dyDescent="0.15">
      <c r="B27">
        <f>10000</f>
        <v>10000</v>
      </c>
      <c r="C27">
        <f t="shared" si="0"/>
        <v>0.11574074074074074</v>
      </c>
      <c r="D27">
        <f t="shared" si="1"/>
        <v>3.802570537683474E-3</v>
      </c>
      <c r="E27">
        <f t="shared" si="2"/>
        <v>9.2103403719761836</v>
      </c>
      <c r="F27">
        <v>102.596490163341</v>
      </c>
      <c r="G27" s="1">
        <f t="shared" si="3"/>
        <v>4.6308037232172321</v>
      </c>
      <c r="H27" s="1">
        <f t="shared" si="4"/>
        <v>6.6899383758132496</v>
      </c>
      <c r="I27" s="1">
        <f t="shared" si="5"/>
        <v>2.0591346525960175</v>
      </c>
      <c r="J27" s="3"/>
      <c r="K27" s="5">
        <f t="shared" si="6"/>
        <v>2607.5395124303091</v>
      </c>
      <c r="L27" s="4">
        <f t="shared" si="7"/>
        <v>0</v>
      </c>
      <c r="M27" s="5">
        <f t="shared" si="8"/>
        <v>27288315.563307423</v>
      </c>
    </row>
    <row r="28" spans="2:13" x14ac:dyDescent="0.15">
      <c r="B28">
        <f>14000</f>
        <v>14000</v>
      </c>
      <c r="C28">
        <f t="shared" si="0"/>
        <v>0.16203703703703703</v>
      </c>
      <c r="D28">
        <f t="shared" si="1"/>
        <v>5.3235987527568635E-3</v>
      </c>
      <c r="E28">
        <f t="shared" si="2"/>
        <v>9.5468126085973957</v>
      </c>
      <c r="F28">
        <v>99.118950346471607</v>
      </c>
      <c r="G28" s="1">
        <f t="shared" si="3"/>
        <v>4.5963206475399527</v>
      </c>
      <c r="H28" s="1">
        <f t="shared" si="4"/>
        <v>6.3302034003705003</v>
      </c>
      <c r="I28" s="1">
        <f t="shared" si="5"/>
        <v>1.7338827528305476</v>
      </c>
      <c r="J28" s="3"/>
      <c r="K28" s="5">
        <f t="shared" si="6"/>
        <v>2519.1561528816542</v>
      </c>
      <c r="L28" s="4">
        <f t="shared" si="7"/>
        <v>0</v>
      </c>
      <c r="M28" s="5">
        <f t="shared" si="8"/>
        <v>37541706.893931352</v>
      </c>
    </row>
    <row r="29" spans="2:13" x14ac:dyDescent="0.15">
      <c r="B29">
        <f>20000</f>
        <v>20000</v>
      </c>
      <c r="C29">
        <f t="shared" si="0"/>
        <v>0.23148148148148148</v>
      </c>
      <c r="D29">
        <f t="shared" si="1"/>
        <v>7.6051410753669481E-3</v>
      </c>
      <c r="E29">
        <f t="shared" si="2"/>
        <v>9.9034875525361272</v>
      </c>
      <c r="F29">
        <v>94.321747753524406</v>
      </c>
      <c r="G29" s="1">
        <f t="shared" si="3"/>
        <v>4.5467117860990438</v>
      </c>
      <c r="H29" s="1">
        <f t="shared" si="4"/>
        <v>5.9699668543801705</v>
      </c>
      <c r="I29" s="1">
        <f t="shared" si="5"/>
        <v>1.4232550682811267</v>
      </c>
      <c r="J29" s="3"/>
      <c r="K29" s="5">
        <f t="shared" si="6"/>
        <v>2397.2329244132343</v>
      </c>
      <c r="L29" s="4">
        <f t="shared" si="7"/>
        <v>0</v>
      </c>
      <c r="M29" s="5">
        <f t="shared" si="8"/>
        <v>52290874.125816017</v>
      </c>
    </row>
    <row r="30" spans="2:13" x14ac:dyDescent="0.15">
      <c r="B30">
        <f>30000</f>
        <v>30000</v>
      </c>
      <c r="C30">
        <f t="shared" si="0"/>
        <v>0.34722222222222221</v>
      </c>
      <c r="D30">
        <f t="shared" si="1"/>
        <v>1.1407711613050422E-2</v>
      </c>
      <c r="E30">
        <f t="shared" si="2"/>
        <v>10.308952660644293</v>
      </c>
      <c r="F30">
        <v>87.303766405933899</v>
      </c>
      <c r="G30" s="1">
        <f t="shared" si="3"/>
        <v>4.4693936051673058</v>
      </c>
      <c r="H30" s="1">
        <f t="shared" si="4"/>
        <v>5.5852859008363165</v>
      </c>
      <c r="I30" s="1">
        <f t="shared" si="5"/>
        <v>1.1158922956690107</v>
      </c>
      <c r="J30" s="3"/>
      <c r="K30" s="5">
        <f t="shared" si="6"/>
        <v>2218.8675277782545</v>
      </c>
      <c r="L30" s="4">
        <f t="shared" si="7"/>
        <v>0</v>
      </c>
      <c r="M30" s="5">
        <f t="shared" si="8"/>
        <v>75371376.386773467</v>
      </c>
    </row>
    <row r="31" spans="2:13" x14ac:dyDescent="0.15">
      <c r="B31">
        <f>50000</f>
        <v>50000</v>
      </c>
      <c r="C31">
        <f t="shared" si="0"/>
        <v>0.57870370370370372</v>
      </c>
      <c r="D31">
        <f t="shared" si="1"/>
        <v>1.9012852688417372E-2</v>
      </c>
      <c r="E31">
        <f t="shared" si="2"/>
        <v>10.819778284410283</v>
      </c>
      <c r="F31">
        <v>76.170221768511794</v>
      </c>
      <c r="G31" s="1">
        <f t="shared" si="3"/>
        <v>4.3329705958746398</v>
      </c>
      <c r="H31" s="1">
        <f t="shared" si="4"/>
        <v>5.1357315505883721</v>
      </c>
      <c r="I31" s="1">
        <f t="shared" si="5"/>
        <v>0.80276095471373221</v>
      </c>
      <c r="J31" s="3"/>
      <c r="K31" s="5">
        <f t="shared" si="6"/>
        <v>1935.9030958638193</v>
      </c>
      <c r="L31" s="4">
        <f t="shared" si="7"/>
        <v>0</v>
      </c>
      <c r="M31" s="5">
        <f t="shared" si="8"/>
        <v>116919082.6231942</v>
      </c>
    </row>
    <row r="32" spans="2:13" x14ac:dyDescent="0.15">
      <c r="B32">
        <f>70000</f>
        <v>70000</v>
      </c>
      <c r="C32">
        <f t="shared" si="0"/>
        <v>0.81018518518518523</v>
      </c>
      <c r="D32">
        <f t="shared" si="1"/>
        <v>2.661799376378432E-2</v>
      </c>
      <c r="E32">
        <f t="shared" si="2"/>
        <v>11.156250521031495</v>
      </c>
      <c r="F32">
        <v>67.857921954661293</v>
      </c>
      <c r="G32" s="1">
        <f t="shared" si="3"/>
        <v>4.2174161363505309</v>
      </c>
      <c r="H32" s="1">
        <f t="shared" si="4"/>
        <v>4.8595702230175668</v>
      </c>
      <c r="I32" s="1">
        <f t="shared" si="5"/>
        <v>0.64215408666703588</v>
      </c>
      <c r="J32" s="3"/>
      <c r="K32" s="5">
        <f t="shared" si="6"/>
        <v>1724.6419682241244</v>
      </c>
      <c r="L32" s="4">
        <f t="shared" si="7"/>
        <v>0</v>
      </c>
      <c r="M32" s="5">
        <f t="shared" si="8"/>
        <v>153524533.26407364</v>
      </c>
    </row>
    <row r="33" spans="2:13" x14ac:dyDescent="0.15">
      <c r="B33">
        <f>1*10^5</f>
        <v>100000</v>
      </c>
      <c r="C33">
        <f t="shared" si="0"/>
        <v>1.1574074074074074</v>
      </c>
      <c r="D33">
        <f t="shared" si="1"/>
        <v>3.8025705376834744E-2</v>
      </c>
      <c r="E33">
        <f t="shared" si="2"/>
        <v>11.512925464970229</v>
      </c>
      <c r="F33">
        <v>58.858590754640701</v>
      </c>
      <c r="G33" s="1">
        <f t="shared" si="3"/>
        <v>4.0751378001918388</v>
      </c>
      <c r="H33" s="1">
        <f t="shared" si="4"/>
        <v>4.5830238497944169</v>
      </c>
      <c r="I33" s="1">
        <f t="shared" si="5"/>
        <v>0.5078860496025781</v>
      </c>
      <c r="J33" s="3"/>
      <c r="K33" s="5">
        <f t="shared" si="6"/>
        <v>1495.9196049918071</v>
      </c>
      <c r="L33" s="4">
        <f t="shared" si="7"/>
        <v>0</v>
      </c>
      <c r="M33" s="5">
        <f t="shared" si="8"/>
        <v>201832956.86231261</v>
      </c>
    </row>
    <row r="34" spans="2:13" x14ac:dyDescent="0.15">
      <c r="B34">
        <f>1.4*10^5</f>
        <v>140000</v>
      </c>
      <c r="C34">
        <f t="shared" si="0"/>
        <v>1.6203703703703705</v>
      </c>
      <c r="D34">
        <f t="shared" si="1"/>
        <v>5.323598752756864E-2</v>
      </c>
      <c r="E34">
        <f t="shared" si="2"/>
        <v>11.849397701591441</v>
      </c>
      <c r="F34">
        <v>50.801240895339099</v>
      </c>
      <c r="G34" s="1">
        <f t="shared" si="3"/>
        <v>3.9279207813597043</v>
      </c>
      <c r="H34" s="1">
        <f t="shared" si="4"/>
        <v>4.3365830188863281</v>
      </c>
      <c r="I34" s="1">
        <f t="shared" si="5"/>
        <v>0.40866223752662378</v>
      </c>
      <c r="J34" s="3"/>
      <c r="K34" s="5">
        <f t="shared" si="6"/>
        <v>1291.1381539874451</v>
      </c>
      <c r="L34" s="4">
        <f t="shared" si="7"/>
        <v>0</v>
      </c>
      <c r="M34" s="5">
        <f t="shared" si="8"/>
        <v>257574112.04189765</v>
      </c>
    </row>
    <row r="35" spans="2:13" x14ac:dyDescent="0.15">
      <c r="B35">
        <f>2*10^5</f>
        <v>200000</v>
      </c>
      <c r="C35">
        <f t="shared" ref="C35" si="9">B35/(3600*24)</f>
        <v>2.3148148148148149</v>
      </c>
      <c r="D35">
        <f t="shared" ref="D35" si="10">C35/(365.25/12)</f>
        <v>7.6051410753669488E-2</v>
      </c>
      <c r="E35">
        <f>LN(B35)</f>
        <v>12.206072645530174</v>
      </c>
      <c r="F35">
        <v>43.189021303148301</v>
      </c>
      <c r="G35" s="1">
        <f t="shared" si="3"/>
        <v>3.7655863264507152</v>
      </c>
      <c r="H35" s="1">
        <f t="shared" ref="H35" si="11">30.374009*EXP(-0.16427*E35)</f>
        <v>4.089798580959342</v>
      </c>
      <c r="I35" s="1">
        <f t="shared" ref="I35" si="12">H35-G35</f>
        <v>0.32421225450862678</v>
      </c>
      <c r="J35" s="3"/>
      <c r="K35" s="5">
        <f t="shared" ref="K35" si="13">2*PI()*$H$3*$H$4*$K$3*F35/1000</f>
        <v>1097.6699044173836</v>
      </c>
      <c r="L35" s="4">
        <f t="shared" ref="L35" si="14">2*PI()*$H$3*$H$4*$K$3*J35/1000</f>
        <v>0</v>
      </c>
      <c r="M35" s="5">
        <f>M33+(K33+K35)/2*(B35-B33)</f>
        <v>331512432.33277214</v>
      </c>
    </row>
    <row r="36" spans="2:13" x14ac:dyDescent="0.15">
      <c r="B36">
        <f>3*10^5</f>
        <v>300000</v>
      </c>
      <c r="C36">
        <f t="shared" si="0"/>
        <v>3.4722222222222223</v>
      </c>
      <c r="D36">
        <f t="shared" si="1"/>
        <v>0.11407711613050422</v>
      </c>
      <c r="E36">
        <f>LN(B36)</f>
        <v>12.611537753638338</v>
      </c>
      <c r="F36" s="7">
        <v>35.884140610245097</v>
      </c>
      <c r="G36" s="1">
        <f t="shared" si="3"/>
        <v>3.5802954321556708</v>
      </c>
      <c r="H36" s="1">
        <f t="shared" si="4"/>
        <v>3.8262682036053328</v>
      </c>
      <c r="I36" s="1">
        <f t="shared" si="5"/>
        <v>0.24597277144966201</v>
      </c>
      <c r="J36" s="3"/>
      <c r="K36" s="5">
        <f t="shared" si="6"/>
        <v>912.01282189917083</v>
      </c>
      <c r="L36" s="4">
        <f t="shared" si="7"/>
        <v>0</v>
      </c>
      <c r="M36" s="5">
        <f>M34+(K34+K36)/2*(B36-B34)</f>
        <v>433826190.11282694</v>
      </c>
    </row>
    <row r="37" spans="2:13" x14ac:dyDescent="0.15">
      <c r="B37">
        <f>5*10^5</f>
        <v>500000</v>
      </c>
      <c r="C37">
        <f t="shared" si="0"/>
        <v>5.7870370370370372</v>
      </c>
      <c r="D37">
        <f t="shared" si="1"/>
        <v>0.1901285268841737</v>
      </c>
      <c r="E37">
        <f>LN(B37)</f>
        <v>13.122363377404328</v>
      </c>
      <c r="F37">
        <v>28.518325867095001</v>
      </c>
      <c r="G37" s="1">
        <f t="shared" si="3"/>
        <v>3.3505468935109275</v>
      </c>
      <c r="H37" s="1">
        <f t="shared" si="4"/>
        <v>3.5182955148861024</v>
      </c>
      <c r="I37" s="1">
        <f t="shared" si="5"/>
        <v>0.16774862137517488</v>
      </c>
      <c r="J37" s="3"/>
      <c r="K37" s="5">
        <f t="shared" si="6"/>
        <v>724.80707096727042</v>
      </c>
      <c r="L37" s="4">
        <f t="shared" si="7"/>
        <v>0</v>
      </c>
      <c r="M37" s="5">
        <f t="shared" si="8"/>
        <v>597508179.39947104</v>
      </c>
    </row>
    <row r="38" spans="2:13" x14ac:dyDescent="0.15">
      <c r="B38">
        <f>7*10^5</f>
        <v>700000</v>
      </c>
      <c r="C38">
        <f t="shared" si="0"/>
        <v>8.1018518518518512</v>
      </c>
      <c r="D38">
        <f t="shared" si="1"/>
        <v>0.26617993763784314</v>
      </c>
      <c r="E38">
        <f t="shared" si="2"/>
        <v>13.458835614025542</v>
      </c>
      <c r="F38">
        <v>24.588855847536198</v>
      </c>
      <c r="G38" s="1">
        <f t="shared" si="3"/>
        <v>3.2022933259685296</v>
      </c>
      <c r="H38" s="1">
        <f t="shared" si="4"/>
        <v>3.329107830404026</v>
      </c>
      <c r="I38" s="1">
        <f t="shared" si="5"/>
        <v>0.12681450443549647</v>
      </c>
      <c r="J38" s="3"/>
      <c r="K38" s="5">
        <f t="shared" si="6"/>
        <v>624.9376863265569</v>
      </c>
      <c r="L38" s="4">
        <f t="shared" si="7"/>
        <v>0</v>
      </c>
      <c r="M38" s="5">
        <f t="shared" si="8"/>
        <v>732482655.1288538</v>
      </c>
    </row>
    <row r="39" spans="2:13" x14ac:dyDescent="0.15">
      <c r="B39">
        <f>1*10^6</f>
        <v>1000000</v>
      </c>
      <c r="C39">
        <f t="shared" si="0"/>
        <v>11.574074074074074</v>
      </c>
      <c r="D39">
        <f t="shared" si="1"/>
        <v>0.3802570537683474</v>
      </c>
      <c r="E39">
        <f t="shared" si="2"/>
        <v>13.815510557964274</v>
      </c>
      <c r="F39">
        <v>21.077754109393801</v>
      </c>
      <c r="G39" s="1">
        <f t="shared" si="3"/>
        <v>3.0482181766971297</v>
      </c>
      <c r="H39" s="1">
        <f t="shared" si="4"/>
        <v>3.1396563657032366</v>
      </c>
      <c r="I39" s="1">
        <f t="shared" si="5"/>
        <v>9.1438189006106896E-2</v>
      </c>
      <c r="J39" s="3"/>
      <c r="K39" s="5">
        <f t="shared" si="6"/>
        <v>535.70133428573092</v>
      </c>
      <c r="L39" s="4">
        <f t="shared" si="7"/>
        <v>0</v>
      </c>
      <c r="M39" s="5">
        <f t="shared" si="8"/>
        <v>906578508.22069693</v>
      </c>
    </row>
    <row r="40" spans="2:13" x14ac:dyDescent="0.15">
      <c r="B40">
        <f>1.4*10^6</f>
        <v>1400000</v>
      </c>
      <c r="C40">
        <f t="shared" si="0"/>
        <v>16.203703703703702</v>
      </c>
      <c r="D40">
        <f t="shared" si="1"/>
        <v>0.53235987527568629</v>
      </c>
      <c r="E40">
        <f t="shared" si="2"/>
        <v>14.151982794585487</v>
      </c>
      <c r="F40">
        <v>18.2853071070999</v>
      </c>
      <c r="G40" s="1">
        <f t="shared" si="3"/>
        <v>2.9060978470359036</v>
      </c>
      <c r="H40" s="1">
        <f t="shared" si="4"/>
        <v>2.9708290698198678</v>
      </c>
      <c r="I40" s="1">
        <f t="shared" si="5"/>
        <v>6.473122278396426E-2</v>
      </c>
      <c r="J40" s="3"/>
      <c r="K40" s="5">
        <f t="shared" si="6"/>
        <v>464.72994059325305</v>
      </c>
      <c r="L40" s="4">
        <f t="shared" si="7"/>
        <v>0</v>
      </c>
      <c r="M40" s="5">
        <f t="shared" si="8"/>
        <v>1106664763.1964936</v>
      </c>
    </row>
    <row r="41" spans="2:13" x14ac:dyDescent="0.15">
      <c r="B41">
        <f>2*10^6</f>
        <v>2000000</v>
      </c>
      <c r="C41">
        <f t="shared" si="0"/>
        <v>23.148148148148149</v>
      </c>
      <c r="D41">
        <f t="shared" si="1"/>
        <v>0.76051410753669479</v>
      </c>
      <c r="E41">
        <f t="shared" si="2"/>
        <v>14.508657738524219</v>
      </c>
      <c r="F41">
        <v>15.7873320436728</v>
      </c>
      <c r="G41" s="1">
        <f t="shared" si="3"/>
        <v>2.7592078490561431</v>
      </c>
      <c r="H41" s="1">
        <f t="shared" si="4"/>
        <v>2.8017663817588589</v>
      </c>
      <c r="I41" s="1">
        <f t="shared" si="5"/>
        <v>4.2558532702715812E-2</v>
      </c>
      <c r="J41" s="3"/>
      <c r="K41" s="5">
        <f t="shared" si="6"/>
        <v>401.24269391861827</v>
      </c>
      <c r="L41" s="4">
        <f t="shared" si="7"/>
        <v>0</v>
      </c>
      <c r="M41" s="5">
        <f t="shared" si="8"/>
        <v>1366456553.550055</v>
      </c>
    </row>
    <row r="42" spans="2:13" x14ac:dyDescent="0.15">
      <c r="B42">
        <f>3*10^6</f>
        <v>3000000</v>
      </c>
      <c r="C42">
        <f t="shared" si="0"/>
        <v>34.722222222222221</v>
      </c>
      <c r="D42">
        <f t="shared" si="1"/>
        <v>1.1407711613050422</v>
      </c>
      <c r="E42">
        <f t="shared" si="2"/>
        <v>14.914122846632385</v>
      </c>
      <c r="F42">
        <v>13.4281826504146</v>
      </c>
      <c r="G42" s="1">
        <f t="shared" si="3"/>
        <v>2.5973556812307157</v>
      </c>
      <c r="H42" s="1">
        <f t="shared" si="4"/>
        <v>2.6212316837225815</v>
      </c>
      <c r="I42" s="1">
        <f t="shared" si="5"/>
        <v>2.3876002491865833E-2</v>
      </c>
      <c r="J42" s="3"/>
      <c r="K42" s="5">
        <f t="shared" si="6"/>
        <v>341.28376892173975</v>
      </c>
      <c r="L42" s="4">
        <f t="shared" si="7"/>
        <v>0</v>
      </c>
      <c r="M42" s="5">
        <f t="shared" si="8"/>
        <v>1737719784.9702339</v>
      </c>
    </row>
    <row r="43" spans="2:13" x14ac:dyDescent="0.15">
      <c r="B43" s="8">
        <f>5*10^6</f>
        <v>5000000</v>
      </c>
      <c r="C43" s="8">
        <f t="shared" si="0"/>
        <v>57.870370370370374</v>
      </c>
      <c r="D43" s="8">
        <f t="shared" si="1"/>
        <v>1.9012852688417372</v>
      </c>
      <c r="E43" s="8">
        <f t="shared" si="2"/>
        <v>15.424948470398375</v>
      </c>
      <c r="F43" s="8">
        <v>11.0441136730562</v>
      </c>
      <c r="G43" s="9">
        <f t="shared" si="3"/>
        <v>2.4018975867581651</v>
      </c>
      <c r="H43" s="9">
        <f t="shared" si="4"/>
        <v>2.4102512384335077</v>
      </c>
      <c r="I43" s="9">
        <f t="shared" si="5"/>
        <v>8.3536516753426326E-3</v>
      </c>
      <c r="J43" s="10">
        <f t="shared" ref="J43:J61" si="15">EXP(H43)</f>
        <v>11.136758775443548</v>
      </c>
      <c r="K43" s="11">
        <f t="shared" si="6"/>
        <v>280.69150061973312</v>
      </c>
      <c r="L43" s="12">
        <f t="shared" si="7"/>
        <v>283.04612078971701</v>
      </c>
      <c r="M43" s="11">
        <f t="shared" si="8"/>
        <v>2359695054.5117068</v>
      </c>
    </row>
    <row r="44" spans="2:13" x14ac:dyDescent="0.15">
      <c r="B44" s="8">
        <f>7*10^6</f>
        <v>7000000</v>
      </c>
      <c r="C44" s="8">
        <f t="shared" si="0"/>
        <v>81.018518518518519</v>
      </c>
      <c r="D44" s="8">
        <f t="shared" si="1"/>
        <v>2.6617993763784318</v>
      </c>
      <c r="E44" s="8">
        <f t="shared" si="2"/>
        <v>15.761420707019587</v>
      </c>
      <c r="F44" s="8">
        <v>9.7634724362445606</v>
      </c>
      <c r="G44" s="9">
        <f t="shared" si="3"/>
        <v>2.2786481195515567</v>
      </c>
      <c r="H44" s="9">
        <f t="shared" si="4"/>
        <v>2.2806459085543165</v>
      </c>
      <c r="I44" s="9">
        <f t="shared" si="5"/>
        <v>1.99778900275982E-3</v>
      </c>
      <c r="J44" s="10">
        <f t="shared" si="15"/>
        <v>9.7829972908824736</v>
      </c>
      <c r="K44" s="11">
        <f t="shared" si="6"/>
        <v>248.14338302898972</v>
      </c>
      <c r="L44" s="12">
        <f t="shared" si="7"/>
        <v>248.63961667072309</v>
      </c>
      <c r="M44" s="11">
        <f t="shared" si="8"/>
        <v>2888529938.1604295</v>
      </c>
    </row>
    <row r="45" spans="2:13" x14ac:dyDescent="0.15">
      <c r="B45" s="8">
        <f>1*10^7</f>
        <v>10000000</v>
      </c>
      <c r="C45" s="8">
        <f t="shared" si="0"/>
        <v>115.74074074074075</v>
      </c>
      <c r="D45" s="8">
        <f t="shared" si="1"/>
        <v>3.8025705376834744</v>
      </c>
      <c r="E45" s="8">
        <f t="shared" si="2"/>
        <v>16.11809565095832</v>
      </c>
      <c r="F45" s="8">
        <v>8.6105722556808608</v>
      </c>
      <c r="G45" s="9">
        <f t="shared" si="3"/>
        <v>2.1529907803054327</v>
      </c>
      <c r="H45" s="9">
        <f t="shared" si="4"/>
        <v>2.1508598728202197</v>
      </c>
      <c r="I45" s="9">
        <f t="shared" si="5"/>
        <v>-2.1309074852129406E-3</v>
      </c>
      <c r="J45" s="10">
        <f t="shared" si="15"/>
        <v>8.5922434582306693</v>
      </c>
      <c r="K45" s="11">
        <f t="shared" si="6"/>
        <v>218.84186628195727</v>
      </c>
      <c r="L45" s="12">
        <f t="shared" si="7"/>
        <v>218.37603101322034</v>
      </c>
      <c r="M45" s="11">
        <f t="shared" si="8"/>
        <v>3589007812.1268501</v>
      </c>
    </row>
    <row r="46" spans="2:13" x14ac:dyDescent="0.15">
      <c r="B46" s="8">
        <f>1.4*10^7</f>
        <v>14000000</v>
      </c>
      <c r="C46" s="8">
        <f t="shared" si="0"/>
        <v>162.03703703703704</v>
      </c>
      <c r="D46" s="8">
        <f t="shared" si="1"/>
        <v>5.3235987527568636</v>
      </c>
      <c r="E46" s="8">
        <f t="shared" si="2"/>
        <v>16.454567887579532</v>
      </c>
      <c r="F46" s="8">
        <v>7.6851261302520397</v>
      </c>
      <c r="G46" s="9">
        <f t="shared" si="3"/>
        <v>2.0392867893805389</v>
      </c>
      <c r="H46" s="9">
        <f t="shared" si="4"/>
        <v>2.0352026753896499</v>
      </c>
      <c r="I46" s="9">
        <f t="shared" si="5"/>
        <v>-4.0841139908889268E-3</v>
      </c>
      <c r="J46" s="10">
        <f t="shared" si="15"/>
        <v>7.6538032058374696</v>
      </c>
      <c r="K46" s="11">
        <f t="shared" si="6"/>
        <v>195.32120456303008</v>
      </c>
      <c r="L46" s="12">
        <f t="shared" si="7"/>
        <v>194.52511726096131</v>
      </c>
      <c r="M46" s="11">
        <f t="shared" si="8"/>
        <v>4417333953.8168249</v>
      </c>
    </row>
    <row r="47" spans="2:13" x14ac:dyDescent="0.15">
      <c r="B47" s="8">
        <f>2*10^7</f>
        <v>20000000</v>
      </c>
      <c r="C47" s="8">
        <f t="shared" si="0"/>
        <v>231.4814814814815</v>
      </c>
      <c r="D47" s="8">
        <f t="shared" si="1"/>
        <v>7.6051410753669488</v>
      </c>
      <c r="E47" s="8">
        <f t="shared" si="2"/>
        <v>16.811242831518264</v>
      </c>
      <c r="F47" s="8">
        <v>6.8480168683079103</v>
      </c>
      <c r="G47" s="9">
        <f t="shared" si="3"/>
        <v>1.9239591020823053</v>
      </c>
      <c r="H47" s="9">
        <f t="shared" si="4"/>
        <v>1.9193842196778272</v>
      </c>
      <c r="I47" s="9">
        <f t="shared" si="5"/>
        <v>-4.574882404478009E-3</v>
      </c>
      <c r="J47" s="10">
        <f t="shared" si="15"/>
        <v>6.8167595502255507</v>
      </c>
      <c r="K47" s="11">
        <f t="shared" si="6"/>
        <v>174.04566703474308</v>
      </c>
      <c r="L47" s="12">
        <f t="shared" si="7"/>
        <v>173.25124714939813</v>
      </c>
      <c r="M47" s="11">
        <f t="shared" si="8"/>
        <v>5525434568.6101446</v>
      </c>
    </row>
    <row r="48" spans="2:13" x14ac:dyDescent="0.15">
      <c r="B48" s="8">
        <f>3*10^7</f>
        <v>30000000</v>
      </c>
      <c r="C48" s="8">
        <f t="shared" si="0"/>
        <v>347.22222222222223</v>
      </c>
      <c r="D48" s="8">
        <f t="shared" si="1"/>
        <v>11.407711613050422</v>
      </c>
      <c r="E48" s="8">
        <f t="shared" si="2"/>
        <v>17.216707939626428</v>
      </c>
      <c r="F48" s="8">
        <v>6.0458862757484102</v>
      </c>
      <c r="G48" s="9">
        <f t="shared" si="3"/>
        <v>1.7993780863471489</v>
      </c>
      <c r="H48" s="9">
        <f t="shared" si="4"/>
        <v>1.7957067236627593</v>
      </c>
      <c r="I48" s="9">
        <f t="shared" si="5"/>
        <v>-3.6713626843896119E-3</v>
      </c>
      <c r="J48" s="10">
        <f t="shared" si="15"/>
        <v>6.023730330623132</v>
      </c>
      <c r="K48" s="11">
        <f t="shared" si="6"/>
        <v>153.65912933839422</v>
      </c>
      <c r="L48" s="12">
        <f t="shared" si="7"/>
        <v>153.09602525698341</v>
      </c>
      <c r="M48" s="11">
        <f t="shared" si="8"/>
        <v>7163958550.475831</v>
      </c>
    </row>
    <row r="49" spans="2:13" x14ac:dyDescent="0.15">
      <c r="B49" s="8">
        <f>5*10^7</f>
        <v>50000000</v>
      </c>
      <c r="C49" s="8">
        <f t="shared" si="0"/>
        <v>578.7037037037037</v>
      </c>
      <c r="D49" s="8">
        <f t="shared" si="1"/>
        <v>19.012852688417372</v>
      </c>
      <c r="E49" s="8">
        <f t="shared" si="2"/>
        <v>17.72753356339242</v>
      </c>
      <c r="F49" s="8">
        <v>5.2183701316495101</v>
      </c>
      <c r="G49" s="9">
        <f t="shared" si="3"/>
        <v>1.6521851178227662</v>
      </c>
      <c r="H49" s="9">
        <f t="shared" si="4"/>
        <v>1.6511719972898073</v>
      </c>
      <c r="I49" s="9">
        <f t="shared" si="5"/>
        <v>-1.0131205329588777E-3</v>
      </c>
      <c r="J49" s="10">
        <f t="shared" si="15"/>
        <v>5.213085970918403</v>
      </c>
      <c r="K49" s="11">
        <f t="shared" si="6"/>
        <v>132.62740554865724</v>
      </c>
      <c r="L49" s="12">
        <f t="shared" si="7"/>
        <v>132.49310604314337</v>
      </c>
      <c r="M49" s="11">
        <f t="shared" si="8"/>
        <v>10026823899.346346</v>
      </c>
    </row>
    <row r="50" spans="2:13" x14ac:dyDescent="0.15">
      <c r="B50" s="8">
        <f>7*10^7</f>
        <v>70000000</v>
      </c>
      <c r="C50" s="8">
        <f t="shared" si="0"/>
        <v>810.18518518518522</v>
      </c>
      <c r="D50" s="8">
        <f t="shared" si="1"/>
        <v>26.61799376378432</v>
      </c>
      <c r="E50" s="8">
        <f t="shared" si="2"/>
        <v>18.064005800013632</v>
      </c>
      <c r="F50" s="8">
        <v>4.76369844679565</v>
      </c>
      <c r="G50" s="9">
        <f t="shared" si="3"/>
        <v>1.5610243511679784</v>
      </c>
      <c r="H50" s="9">
        <f t="shared" si="4"/>
        <v>1.5623842858746637</v>
      </c>
      <c r="I50" s="9">
        <f t="shared" si="5"/>
        <v>1.3599347066852729E-3</v>
      </c>
      <c r="J50" s="10">
        <f t="shared" si="15"/>
        <v>4.7701811726884902</v>
      </c>
      <c r="K50" s="11">
        <f t="shared" si="6"/>
        <v>121.0717043589559</v>
      </c>
      <c r="L50" s="12">
        <f t="shared" si="7"/>
        <v>121.23646597884098</v>
      </c>
      <c r="M50" s="11">
        <f t="shared" si="8"/>
        <v>12563814998.422478</v>
      </c>
    </row>
    <row r="51" spans="2:13" x14ac:dyDescent="0.15">
      <c r="B51" s="8">
        <f>1*10^8</f>
        <v>100000000</v>
      </c>
      <c r="C51" s="8">
        <f t="shared" si="0"/>
        <v>1157.4074074074074</v>
      </c>
      <c r="D51" s="8">
        <f t="shared" si="1"/>
        <v>38.025705376834743</v>
      </c>
      <c r="E51" s="8">
        <f t="shared" si="2"/>
        <v>18.420680743952367</v>
      </c>
      <c r="F51" s="8">
        <v>4.3458892053379303</v>
      </c>
      <c r="G51" s="9">
        <f t="shared" si="3"/>
        <v>1.4692303880297362</v>
      </c>
      <c r="H51" s="9">
        <f t="shared" si="4"/>
        <v>1.4734727797104037</v>
      </c>
      <c r="I51" s="9">
        <f t="shared" si="5"/>
        <v>4.2423916806675344E-3</v>
      </c>
      <c r="J51" s="10">
        <f t="shared" si="15"/>
        <v>4.3643653333226551</v>
      </c>
      <c r="K51" s="11">
        <f t="shared" si="6"/>
        <v>110.45288003051104</v>
      </c>
      <c r="L51" s="12">
        <f t="shared" si="7"/>
        <v>110.92245977617473</v>
      </c>
      <c r="M51" s="11">
        <f t="shared" si="8"/>
        <v>16036683764.264482</v>
      </c>
    </row>
    <row r="52" spans="2:13" x14ac:dyDescent="0.15">
      <c r="B52">
        <f>1.4*10^8</f>
        <v>140000000</v>
      </c>
      <c r="C52">
        <f t="shared" si="0"/>
        <v>1620.3703703703704</v>
      </c>
      <c r="D52">
        <f t="shared" si="1"/>
        <v>53.235987527568639</v>
      </c>
      <c r="E52">
        <f t="shared" si="2"/>
        <v>18.757152980573579</v>
      </c>
      <c r="F52">
        <v>4.0029067729028602</v>
      </c>
      <c r="G52" s="1">
        <f t="shared" si="3"/>
        <v>1.387020790431932</v>
      </c>
      <c r="H52" s="1">
        <f t="shared" si="4"/>
        <v>1.3942404064883935</v>
      </c>
      <c r="I52" s="1">
        <f t="shared" si="5"/>
        <v>7.2196160564614864E-3</v>
      </c>
      <c r="J52" s="2">
        <f t="shared" si="15"/>
        <v>4.0319107958871143</v>
      </c>
      <c r="K52" s="5">
        <f t="shared" si="6"/>
        <v>101.7358153120197</v>
      </c>
      <c r="L52" s="4">
        <f t="shared" si="7"/>
        <v>102.47296661057263</v>
      </c>
      <c r="M52" s="5">
        <f t="shared" si="8"/>
        <v>20280457671.115097</v>
      </c>
    </row>
    <row r="53" spans="2:13" x14ac:dyDescent="0.15">
      <c r="B53">
        <f>2*10^8</f>
        <v>200000000</v>
      </c>
      <c r="C53">
        <f t="shared" si="0"/>
        <v>2314.8148148148148</v>
      </c>
      <c r="D53">
        <f t="shared" si="1"/>
        <v>76.051410753669487</v>
      </c>
      <c r="E53">
        <f t="shared" si="2"/>
        <v>19.113827924512311</v>
      </c>
      <c r="F53">
        <v>3.6851252734940001</v>
      </c>
      <c r="G53" s="1">
        <f t="shared" si="3"/>
        <v>1.3043045205842252</v>
      </c>
      <c r="H53" s="1">
        <f t="shared" si="4"/>
        <v>1.3148975613147089</v>
      </c>
      <c r="I53" s="1">
        <f t="shared" si="5"/>
        <v>1.0593040730483727E-2</v>
      </c>
      <c r="J53" s="2">
        <f t="shared" si="15"/>
        <v>3.7243694461997636</v>
      </c>
      <c r="K53" s="5">
        <f t="shared" si="6"/>
        <v>93.659244517943634</v>
      </c>
      <c r="L53" s="4">
        <f t="shared" si="7"/>
        <v>94.656654183712902</v>
      </c>
      <c r="M53" s="5">
        <f t="shared" si="8"/>
        <v>26142309466.013996</v>
      </c>
    </row>
    <row r="54" spans="2:13" x14ac:dyDescent="0.15">
      <c r="B54">
        <f>3*10^8</f>
        <v>300000000</v>
      </c>
      <c r="C54">
        <f t="shared" si="0"/>
        <v>3472.2222222222222</v>
      </c>
      <c r="D54">
        <f t="shared" si="1"/>
        <v>114.07711613050422</v>
      </c>
      <c r="E54">
        <f t="shared" si="2"/>
        <v>19.519293032620475</v>
      </c>
      <c r="F54">
        <v>3.37199170989958</v>
      </c>
      <c r="G54" s="1">
        <f t="shared" si="3"/>
        <v>1.2155035816251931</v>
      </c>
      <c r="H54" s="1">
        <f t="shared" si="4"/>
        <v>1.2301707847618524</v>
      </c>
      <c r="I54" s="1">
        <f t="shared" si="5"/>
        <v>1.4667203136659257E-2</v>
      </c>
      <c r="J54" s="2">
        <f t="shared" si="15"/>
        <v>3.4218138800583566</v>
      </c>
      <c r="K54" s="5">
        <f t="shared" si="6"/>
        <v>85.700803264830398</v>
      </c>
      <c r="L54" s="4">
        <f t="shared" si="7"/>
        <v>86.967057861622209</v>
      </c>
      <c r="M54" s="5">
        <f t="shared" si="8"/>
        <v>35110311855.152695</v>
      </c>
    </row>
    <row r="55" spans="2:13" x14ac:dyDescent="0.15">
      <c r="B55">
        <f>5*10^8</f>
        <v>500000000</v>
      </c>
      <c r="C55">
        <f t="shared" si="0"/>
        <v>5787.0370370370374</v>
      </c>
      <c r="D55">
        <f t="shared" si="1"/>
        <v>190.12852688417371</v>
      </c>
      <c r="E55">
        <f t="shared" si="2"/>
        <v>20.030118656386467</v>
      </c>
      <c r="F55">
        <v>3.0373786293767502</v>
      </c>
      <c r="G55" s="1">
        <f t="shared" si="3"/>
        <v>1.1109948504615172</v>
      </c>
      <c r="H55" s="1">
        <f t="shared" si="4"/>
        <v>1.1311555082556282</v>
      </c>
      <c r="I55" s="1">
        <f t="shared" si="5"/>
        <v>2.0160657794110914E-2</v>
      </c>
      <c r="J55" s="2">
        <f t="shared" si="15"/>
        <v>3.0992356242226791</v>
      </c>
      <c r="K55" s="5">
        <f t="shared" si="6"/>
        <v>77.196449680704916</v>
      </c>
      <c r="L55" s="4">
        <f t="shared" si="7"/>
        <v>78.768575178606113</v>
      </c>
      <c r="M55" s="5">
        <f t="shared" si="8"/>
        <v>51400037149.706223</v>
      </c>
    </row>
    <row r="56" spans="2:13" x14ac:dyDescent="0.15">
      <c r="B56">
        <f>7*10^8</f>
        <v>700000000</v>
      </c>
      <c r="C56">
        <f t="shared" si="0"/>
        <v>8101.8518518518522</v>
      </c>
      <c r="D56">
        <f t="shared" si="1"/>
        <v>266.17993763784318</v>
      </c>
      <c r="E56">
        <f t="shared" si="2"/>
        <v>20.366590893007679</v>
      </c>
      <c r="F56">
        <v>2.8471301099689401</v>
      </c>
      <c r="G56" s="1">
        <f t="shared" si="3"/>
        <v>1.0463115079783629</v>
      </c>
      <c r="H56" s="1">
        <f t="shared" si="4"/>
        <v>1.0703304040281472</v>
      </c>
      <c r="I56" s="1">
        <f t="shared" si="5"/>
        <v>2.4018896049784244E-2</v>
      </c>
      <c r="J56" s="2">
        <f t="shared" si="15"/>
        <v>2.9163429122562512</v>
      </c>
      <c r="K56" s="5">
        <f t="shared" si="6"/>
        <v>72.361191371698126</v>
      </c>
      <c r="L56" s="4">
        <f t="shared" si="7"/>
        <v>74.120268280107567</v>
      </c>
      <c r="M56" s="5">
        <f t="shared" si="8"/>
        <v>66355801254.946526</v>
      </c>
    </row>
    <row r="57" spans="2:13" x14ac:dyDescent="0.15">
      <c r="B57">
        <f>1*10^9</f>
        <v>1000000000</v>
      </c>
      <c r="C57">
        <f t="shared" si="0"/>
        <v>11574.074074074075</v>
      </c>
      <c r="D57">
        <f t="shared" si="1"/>
        <v>380.25705376834742</v>
      </c>
      <c r="E57">
        <f t="shared" si="2"/>
        <v>20.72326583694641</v>
      </c>
      <c r="F57">
        <v>2.66732786614432</v>
      </c>
      <c r="G57" s="1">
        <f t="shared" si="3"/>
        <v>0.9810771720813739</v>
      </c>
      <c r="H57" s="1">
        <f t="shared" si="4"/>
        <v>1.0094204926984469</v>
      </c>
      <c r="I57" s="1">
        <f t="shared" si="5"/>
        <v>2.8343320617073009E-2</v>
      </c>
      <c r="J57" s="2">
        <f t="shared" si="15"/>
        <v>2.7440103801183464</v>
      </c>
      <c r="K57" s="5">
        <f t="shared" si="6"/>
        <v>67.791430218564173</v>
      </c>
      <c r="L57" s="4">
        <f t="shared" si="7"/>
        <v>69.740353469071309</v>
      </c>
      <c r="M57" s="5">
        <f t="shared" si="8"/>
        <v>87378694493.48587</v>
      </c>
    </row>
    <row r="58" spans="2:13" x14ac:dyDescent="0.15">
      <c r="B58">
        <f>1.4*10^9</f>
        <v>1400000000</v>
      </c>
      <c r="C58">
        <f t="shared" si="0"/>
        <v>16203.703703703704</v>
      </c>
      <c r="D58">
        <f t="shared" si="1"/>
        <v>532.35987527568636</v>
      </c>
      <c r="E58">
        <f t="shared" si="2"/>
        <v>21.059738073567623</v>
      </c>
      <c r="F58">
        <v>2.5155032175990399</v>
      </c>
      <c r="G58" s="1">
        <f t="shared" si="3"/>
        <v>0.9224728700575574</v>
      </c>
      <c r="H58" s="1">
        <f t="shared" si="4"/>
        <v>0.95514138940130477</v>
      </c>
      <c r="I58" s="1">
        <f t="shared" si="5"/>
        <v>3.2668519343747371E-2</v>
      </c>
      <c r="J58" s="2">
        <f t="shared" si="15"/>
        <v>2.5990380333736169</v>
      </c>
      <c r="K58" s="5">
        <f t="shared" si="6"/>
        <v>63.932733206489196</v>
      </c>
      <c r="L58" s="4">
        <f t="shared" si="7"/>
        <v>66.055811027660383</v>
      </c>
      <c r="M58" s="5">
        <f t="shared" si="8"/>
        <v>113723527178.49655</v>
      </c>
    </row>
    <row r="59" spans="2:13" x14ac:dyDescent="0.15">
      <c r="B59">
        <f>2*10^9</f>
        <v>2000000000</v>
      </c>
      <c r="C59">
        <f t="shared" si="0"/>
        <v>23148.14814814815</v>
      </c>
      <c r="D59">
        <f t="shared" si="1"/>
        <v>760.51410753669484</v>
      </c>
      <c r="E59">
        <f t="shared" si="2"/>
        <v>21.416413017506358</v>
      </c>
      <c r="F59">
        <v>2.3708448606122801</v>
      </c>
      <c r="G59" s="1">
        <f t="shared" si="3"/>
        <v>0.8632463728936921</v>
      </c>
      <c r="H59" s="1">
        <f t="shared" si="4"/>
        <v>0.90078660594676396</v>
      </c>
      <c r="I59" s="1">
        <f t="shared" si="5"/>
        <v>3.7540233053071859E-2</v>
      </c>
      <c r="J59" s="2">
        <f t="shared" si="15"/>
        <v>2.4615386107288026</v>
      </c>
      <c r="K59" s="5">
        <f t="shared" si="6"/>
        <v>60.256170966926305</v>
      </c>
      <c r="L59" s="4">
        <f t="shared" si="7"/>
        <v>62.561196573385239</v>
      </c>
      <c r="M59" s="5">
        <f t="shared" si="8"/>
        <v>150980198430.52121</v>
      </c>
    </row>
    <row r="60" spans="2:13" x14ac:dyDescent="0.15">
      <c r="B60">
        <f>3*10^9</f>
        <v>3000000000</v>
      </c>
      <c r="C60">
        <f t="shared" si="0"/>
        <v>34722.222222222219</v>
      </c>
      <c r="D60">
        <f t="shared" si="1"/>
        <v>1140.7711613050421</v>
      </c>
      <c r="E60">
        <f t="shared" si="2"/>
        <v>21.821878125614521</v>
      </c>
      <c r="F60">
        <v>2.2239278638609101</v>
      </c>
      <c r="G60" s="1">
        <f t="shared" ref="G60:G61" si="16">LN(F60)</f>
        <v>0.79927494054796078</v>
      </c>
      <c r="H60" s="1">
        <f t="shared" si="4"/>
        <v>0.84274349465865184</v>
      </c>
      <c r="I60" s="1">
        <f t="shared" ref="I60:I61" si="17">H60-G60</f>
        <v>4.346855411069106E-2</v>
      </c>
      <c r="J60" s="2">
        <f t="shared" si="15"/>
        <v>2.3227306425594212</v>
      </c>
      <c r="K60" s="5">
        <f t="shared" si="6"/>
        <v>56.522204303282329</v>
      </c>
      <c r="L60" s="4">
        <f t="shared" si="7"/>
        <v>59.033324800524547</v>
      </c>
      <c r="M60" s="5">
        <f t="shared" si="8"/>
        <v>209369386065.62555</v>
      </c>
    </row>
    <row r="61" spans="2:13" x14ac:dyDescent="0.15">
      <c r="B61">
        <f>5*10^9</f>
        <v>5000000000</v>
      </c>
      <c r="C61">
        <f t="shared" si="0"/>
        <v>57870.370370370372</v>
      </c>
      <c r="D61">
        <f t="shared" si="1"/>
        <v>1901.285268841737</v>
      </c>
      <c r="E61">
        <f t="shared" si="2"/>
        <v>22.33270374938051</v>
      </c>
      <c r="F61">
        <v>2.0612991576833402</v>
      </c>
      <c r="G61" s="1">
        <f t="shared" si="16"/>
        <v>0.72333644308921263</v>
      </c>
      <c r="H61" s="1">
        <f t="shared" si="4"/>
        <v>0.77491187226843095</v>
      </c>
      <c r="I61" s="1">
        <f t="shared" si="17"/>
        <v>5.1575429179218313E-2</v>
      </c>
      <c r="J61" s="2">
        <f t="shared" si="15"/>
        <v>2.170400846251813</v>
      </c>
      <c r="K61" s="5">
        <f t="shared" si="6"/>
        <v>52.388916931187069</v>
      </c>
      <c r="L61" s="4">
        <f t="shared" si="7"/>
        <v>55.161789213291797</v>
      </c>
      <c r="M61" s="5">
        <f t="shared" si="8"/>
        <v>318280507300.09497</v>
      </c>
    </row>
    <row r="62" spans="2:13" x14ac:dyDescent="0.15">
      <c r="F62" s="2"/>
      <c r="G62" s="1"/>
      <c r="H62" s="1"/>
      <c r="I62" s="1"/>
    </row>
    <row r="63" spans="2:13" ht="30" customHeight="1" x14ac:dyDescent="0.15">
      <c r="F63" s="2"/>
      <c r="G63" s="1"/>
      <c r="H63" s="1"/>
      <c r="I63" s="1"/>
    </row>
    <row r="64" spans="2:13" x14ac:dyDescent="0.15">
      <c r="F64" s="2"/>
      <c r="G64" s="1"/>
      <c r="H64" s="1"/>
      <c r="I64" s="1"/>
    </row>
    <row r="65" spans="6:9" x14ac:dyDescent="0.15">
      <c r="F65" s="2"/>
      <c r="G65" s="1"/>
      <c r="H65" s="1"/>
      <c r="I65" s="1"/>
    </row>
    <row r="66" spans="6:9" x14ac:dyDescent="0.15">
      <c r="F66" s="2"/>
      <c r="G66" s="1"/>
      <c r="H66" s="1"/>
      <c r="I66" s="1"/>
    </row>
    <row r="67" spans="6:9" x14ac:dyDescent="0.15">
      <c r="F67" s="2"/>
      <c r="G67" s="1"/>
      <c r="H67" s="1"/>
      <c r="I67" s="1"/>
    </row>
    <row r="68" spans="6:9" x14ac:dyDescent="0.15">
      <c r="F68" s="2"/>
      <c r="G68" s="1"/>
      <c r="H68" s="1"/>
      <c r="I68" s="1"/>
    </row>
    <row r="69" spans="6:9" x14ac:dyDescent="0.15">
      <c r="F69" s="2"/>
      <c r="G69" s="1"/>
      <c r="H69" s="1"/>
      <c r="I69" s="1"/>
    </row>
    <row r="70" spans="6:9" x14ac:dyDescent="0.15">
      <c r="F70" s="2"/>
      <c r="G70" s="1"/>
      <c r="H70" s="1"/>
      <c r="I70" s="1"/>
    </row>
    <row r="71" spans="6:9" x14ac:dyDescent="0.15">
      <c r="F71" s="2"/>
      <c r="G71" s="1"/>
      <c r="H71" s="1"/>
      <c r="I71" s="1"/>
    </row>
    <row r="72" spans="6:9" x14ac:dyDescent="0.15">
      <c r="F72" s="2"/>
      <c r="G72" s="1"/>
      <c r="H72" s="1"/>
      <c r="I72" s="1"/>
    </row>
    <row r="73" spans="6:9" x14ac:dyDescent="0.15">
      <c r="F73" s="2"/>
      <c r="G73" s="1"/>
      <c r="H73" s="1"/>
      <c r="I73" s="1"/>
    </row>
    <row r="74" spans="6:9" x14ac:dyDescent="0.15">
      <c r="F74" s="2"/>
      <c r="G74" s="1"/>
      <c r="H74" s="1"/>
      <c r="I74" s="1"/>
    </row>
    <row r="75" spans="6:9" x14ac:dyDescent="0.15">
      <c r="F75" s="2"/>
      <c r="G75" s="1"/>
      <c r="H75" s="1"/>
      <c r="I7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Tabelle2</vt:lpstr>
      <vt:lpstr>ln(dT_dr)</vt:lpstr>
      <vt:lpstr>Wärmestrom kW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</dc:creator>
  <cp:lastModifiedBy>Microsoft Office-Anwender</cp:lastModifiedBy>
  <dcterms:created xsi:type="dcterms:W3CDTF">2019-10-22T07:08:44Z</dcterms:created>
  <dcterms:modified xsi:type="dcterms:W3CDTF">2019-10-25T05:06:09Z</dcterms:modified>
</cp:coreProperties>
</file>